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І\78 липень 26\ЦМЛ зміни до ФП 26\"/>
    </mc:Choice>
  </mc:AlternateContent>
  <xr:revisionPtr revIDLastSave="0" documentId="13_ncr:1_{5FB13ECE-C143-472C-B065-0B4300075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ін план" sheetId="11" r:id="rId1"/>
    <sheet name="1_ кап інвестиції" sheetId="2" r:id="rId2"/>
    <sheet name="2_ кап будівництво" sheetId="3" r:id="rId3"/>
    <sheet name="3_ залучені кошти" sheetId="4" r:id="rId4"/>
    <sheet name="4_ персонал" sheetId="5" r:id="rId5"/>
    <sheet name="5_майно" sheetId="8" r:id="rId6"/>
    <sheet name="6_транспорт" sheetId="9" r:id="rId7"/>
    <sheet name="ЗВІТ" sheetId="12" r:id="rId8"/>
  </sheets>
  <definedNames>
    <definedName name="_xlnm.Print_Area" localSheetId="4">'4_ персонал'!$A$1:$L$31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11" l="1"/>
  <c r="G122" i="11"/>
  <c r="I82" i="11"/>
  <c r="F122" i="11"/>
  <c r="F46" i="11"/>
  <c r="F47" i="11"/>
  <c r="J12" i="5"/>
  <c r="I12" i="5"/>
  <c r="H12" i="5"/>
  <c r="G12" i="5"/>
  <c r="I193" i="11"/>
  <c r="H193" i="11"/>
  <c r="G193" i="11"/>
  <c r="F193" i="11"/>
  <c r="I184" i="11"/>
  <c r="H184" i="11"/>
  <c r="I99" i="11"/>
  <c r="H99" i="11"/>
  <c r="G99" i="11"/>
  <c r="F99" i="11"/>
  <c r="I83" i="11"/>
  <c r="I95" i="11"/>
  <c r="H95" i="11"/>
  <c r="G95" i="11"/>
  <c r="F95" i="11"/>
  <c r="I73" i="11"/>
  <c r="H73" i="11"/>
  <c r="G73" i="11"/>
  <c r="F73" i="11"/>
  <c r="I75" i="11"/>
  <c r="H75" i="11"/>
  <c r="G75" i="11"/>
  <c r="F75" i="11"/>
  <c r="I78" i="11"/>
  <c r="H78" i="11"/>
  <c r="G78" i="11"/>
  <c r="F78" i="11"/>
  <c r="I104" i="11"/>
  <c r="H104" i="11"/>
  <c r="G104" i="11"/>
  <c r="F104" i="11"/>
  <c r="I103" i="11"/>
  <c r="H103" i="11"/>
  <c r="G103" i="11"/>
  <c r="F103" i="11"/>
  <c r="I122" i="11"/>
  <c r="H122" i="11"/>
  <c r="I90" i="11"/>
  <c r="F14" i="5"/>
  <c r="G131" i="11"/>
  <c r="H131" i="11"/>
  <c r="I131" i="11"/>
  <c r="F131" i="11"/>
  <c r="J18" i="5"/>
  <c r="I18" i="5"/>
  <c r="H18" i="5"/>
  <c r="G18" i="5"/>
  <c r="J17" i="5"/>
  <c r="I17" i="5"/>
  <c r="H17" i="5"/>
  <c r="J14" i="5"/>
  <c r="I14" i="5"/>
  <c r="H14" i="5"/>
  <c r="G17" i="5"/>
  <c r="G14" i="5"/>
  <c r="F17" i="5"/>
  <c r="F12" i="5"/>
  <c r="I195" i="11"/>
  <c r="H195" i="11"/>
  <c r="G195" i="11"/>
  <c r="F195" i="11"/>
  <c r="I79" i="11"/>
  <c r="H79" i="11"/>
  <c r="G79" i="11"/>
  <c r="F79" i="11"/>
  <c r="I124" i="11"/>
  <c r="H124" i="11"/>
  <c r="H123" i="11"/>
  <c r="I123" i="11"/>
  <c r="F35" i="11"/>
  <c r="G13" i="5" l="1"/>
  <c r="D192" i="11"/>
  <c r="D193" i="11"/>
  <c r="C12" i="5"/>
  <c r="C11" i="5"/>
  <c r="C22" i="5" s="1"/>
  <c r="D12" i="5"/>
  <c r="D11" i="5" s="1"/>
  <c r="D22" i="5" s="1"/>
  <c r="D191" i="11" l="1"/>
  <c r="D202" i="11"/>
  <c r="D203" i="11"/>
  <c r="D204" i="11"/>
  <c r="D205" i="11"/>
  <c r="D206" i="11"/>
  <c r="G124" i="11" l="1"/>
  <c r="F124" i="11"/>
  <c r="G123" i="11"/>
  <c r="G130" i="11" s="1"/>
  <c r="F123" i="11"/>
  <c r="D174" i="11"/>
  <c r="G197" i="11"/>
  <c r="F197" i="11"/>
  <c r="F207" i="11" s="1"/>
  <c r="I197" i="11"/>
  <c r="H197" i="11"/>
  <c r="D207" i="11"/>
  <c r="H13" i="5"/>
  <c r="I80" i="11"/>
  <c r="G80" i="11"/>
  <c r="I151" i="11"/>
  <c r="H151" i="11"/>
  <c r="E69" i="11"/>
  <c r="E21" i="5"/>
  <c r="F184" i="11"/>
  <c r="C81" i="11"/>
  <c r="E54" i="11"/>
  <c r="E55" i="11"/>
  <c r="E56" i="11"/>
  <c r="E58" i="11"/>
  <c r="E59" i="11"/>
  <c r="E60" i="11"/>
  <c r="E61" i="11"/>
  <c r="E62" i="11"/>
  <c r="E64" i="11"/>
  <c r="E65" i="11"/>
  <c r="E66" i="11"/>
  <c r="E67" i="11"/>
  <c r="E68" i="11"/>
  <c r="E53" i="11"/>
  <c r="I77" i="11" l="1"/>
  <c r="G77" i="11"/>
  <c r="H77" i="11"/>
  <c r="F77" i="11"/>
  <c r="G133" i="11"/>
  <c r="H133" i="11"/>
  <c r="I133" i="11"/>
  <c r="F133" i="11"/>
  <c r="E131" i="11"/>
  <c r="E57" i="11" l="1"/>
  <c r="F139" i="11"/>
  <c r="F28" i="8"/>
  <c r="E28" i="8"/>
  <c r="D28" i="8"/>
  <c r="C28" i="8"/>
  <c r="E127" i="8" l="1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D98" i="8"/>
  <c r="C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D77" i="8"/>
  <c r="C77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D46" i="8"/>
  <c r="C46" i="8"/>
  <c r="E45" i="8"/>
  <c r="E44" i="8"/>
  <c r="E43" i="8"/>
  <c r="E42" i="8"/>
  <c r="E41" i="8"/>
  <c r="E39" i="8"/>
  <c r="E38" i="8"/>
  <c r="E37" i="8"/>
  <c r="E36" i="8"/>
  <c r="E35" i="8"/>
  <c r="E34" i="8"/>
  <c r="E33" i="8"/>
  <c r="D31" i="8"/>
  <c r="C31" i="8"/>
  <c r="E31" i="8" s="1"/>
  <c r="X15" i="2"/>
  <c r="Z15" i="2"/>
  <c r="AA15" i="2"/>
  <c r="AB15" i="2"/>
  <c r="Y15" i="2"/>
  <c r="N15" i="2"/>
  <c r="E159" i="11"/>
  <c r="S15" i="2"/>
  <c r="E98" i="8" l="1"/>
  <c r="E77" i="8"/>
  <c r="C128" i="8"/>
  <c r="D128" i="8"/>
  <c r="E46" i="8"/>
  <c r="J13" i="5"/>
  <c r="I13" i="5"/>
  <c r="E14" i="5"/>
  <c r="F13" i="5" s="1"/>
  <c r="F11" i="5" s="1"/>
  <c r="E15" i="5"/>
  <c r="F15" i="5" s="1"/>
  <c r="E16" i="5"/>
  <c r="F16" i="5" s="1"/>
  <c r="E18" i="5"/>
  <c r="E128" i="8" l="1"/>
  <c r="E12" i="5"/>
  <c r="E17" i="5"/>
  <c r="E39" i="11" l="1"/>
  <c r="F114" i="11" l="1"/>
  <c r="E99" i="11"/>
  <c r="H72" i="11"/>
  <c r="G135" i="11"/>
  <c r="H135" i="11"/>
  <c r="I135" i="11"/>
  <c r="G139" i="11"/>
  <c r="H139" i="11"/>
  <c r="I139" i="11"/>
  <c r="G137" i="11"/>
  <c r="H137" i="11"/>
  <c r="I137" i="11"/>
  <c r="F137" i="11"/>
  <c r="F135" i="11"/>
  <c r="F63" i="11"/>
  <c r="G63" i="11"/>
  <c r="H63" i="11"/>
  <c r="I63" i="11"/>
  <c r="G47" i="11"/>
  <c r="H47" i="11"/>
  <c r="I47" i="11"/>
  <c r="E63" i="11" l="1"/>
  <c r="C72" i="11"/>
  <c r="C63" i="11"/>
  <c r="C40" i="11" s="1"/>
  <c r="C35" i="11"/>
  <c r="C71" i="11" l="1"/>
  <c r="C140" i="11"/>
  <c r="H46" i="11"/>
  <c r="H44" i="11" l="1"/>
  <c r="W16" i="2"/>
  <c r="AA11" i="2" l="1"/>
  <c r="Z11" i="2"/>
  <c r="AB11" i="2"/>
  <c r="Q16" i="2" l="1"/>
  <c r="E28" i="9"/>
  <c r="E37" i="9" s="1"/>
  <c r="F28" i="9"/>
  <c r="F37" i="9" s="1"/>
  <c r="E13" i="5" l="1"/>
  <c r="I191" i="11"/>
  <c r="E74" i="11" l="1"/>
  <c r="G148" i="11" l="1"/>
  <c r="H148" i="11"/>
  <c r="I148" i="11"/>
  <c r="I132" i="11" l="1"/>
  <c r="E104" i="11" l="1"/>
  <c r="O16" i="2" l="1"/>
  <c r="P16" i="2"/>
  <c r="R16" i="2"/>
  <c r="V16" i="2"/>
  <c r="U16" i="2"/>
  <c r="T16" i="2"/>
  <c r="Y11" i="2" l="1"/>
  <c r="Z10" i="2"/>
  <c r="AA10" i="2"/>
  <c r="AA16" i="2" s="1"/>
  <c r="AB10" i="2"/>
  <c r="Y10" i="2"/>
  <c r="G11" i="5"/>
  <c r="H11" i="5"/>
  <c r="I11" i="5"/>
  <c r="J11" i="5"/>
  <c r="F22" i="5" l="1"/>
  <c r="J22" i="5"/>
  <c r="I22" i="5"/>
  <c r="H22" i="5"/>
  <c r="G22" i="5"/>
  <c r="E11" i="5"/>
  <c r="E22" i="5" s="1"/>
  <c r="Z16" i="2"/>
  <c r="AB16" i="2"/>
  <c r="Y16" i="2"/>
  <c r="F132" i="11"/>
  <c r="G132" i="11"/>
  <c r="H132" i="11"/>
  <c r="E132" i="11" l="1"/>
  <c r="E149" i="11"/>
  <c r="E36" i="11"/>
  <c r="E37" i="11"/>
  <c r="S11" i="2" l="1"/>
  <c r="S16" i="2" s="1"/>
  <c r="N11" i="2"/>
  <c r="N16" i="2" s="1"/>
  <c r="X11" i="2" l="1"/>
  <c r="G35" i="11"/>
  <c r="H35" i="11"/>
  <c r="I35" i="11"/>
  <c r="E35" i="11" l="1"/>
  <c r="E139" i="11"/>
  <c r="G191" i="11" l="1"/>
  <c r="H191" i="11"/>
  <c r="E192" i="11"/>
  <c r="E193" i="11"/>
  <c r="E194" i="11"/>
  <c r="E195" i="11"/>
  <c r="E196" i="11"/>
  <c r="F191" i="11"/>
  <c r="C191" i="11"/>
  <c r="E184" i="11"/>
  <c r="H198" i="11" l="1"/>
  <c r="F198" i="11"/>
  <c r="I198" i="11"/>
  <c r="G198" i="11"/>
  <c r="E191" i="11"/>
  <c r="E198" i="11" s="1"/>
  <c r="E151" i="11"/>
  <c r="E135" i="11"/>
  <c r="E133" i="11" l="1"/>
  <c r="E137" i="11"/>
  <c r="E95" i="11"/>
  <c r="E96" i="11"/>
  <c r="G120" i="11"/>
  <c r="G114" i="11" s="1"/>
  <c r="H120" i="11"/>
  <c r="H114" i="11" s="1"/>
  <c r="I120" i="11"/>
  <c r="I114" i="11" s="1"/>
  <c r="E121" i="11"/>
  <c r="E115" i="11"/>
  <c r="E116" i="11"/>
  <c r="E117" i="11"/>
  <c r="E118" i="11"/>
  <c r="E119" i="11"/>
  <c r="E98" i="11"/>
  <c r="E122" i="11"/>
  <c r="F130" i="11"/>
  <c r="E124" i="11"/>
  <c r="E103" i="11"/>
  <c r="E123" i="11"/>
  <c r="E120" i="11" l="1"/>
  <c r="E110" i="11"/>
  <c r="E111" i="11"/>
  <c r="E112" i="11"/>
  <c r="E113" i="11"/>
  <c r="E80" i="11"/>
  <c r="E82" i="11" l="1"/>
  <c r="E83" i="11"/>
  <c r="E84" i="11"/>
  <c r="E85" i="11"/>
  <c r="E86" i="11"/>
  <c r="E87" i="11"/>
  <c r="E88" i="11"/>
  <c r="E90" i="11"/>
  <c r="E91" i="11"/>
  <c r="E92" i="11"/>
  <c r="E93" i="11"/>
  <c r="E75" i="11"/>
  <c r="E76" i="11"/>
  <c r="E78" i="11"/>
  <c r="E79" i="11"/>
  <c r="E73" i="11"/>
  <c r="E77" i="11" l="1"/>
  <c r="E43" i="11"/>
  <c r="I97" i="12" l="1"/>
  <c r="H97" i="12"/>
  <c r="G97" i="12"/>
  <c r="F97" i="12"/>
  <c r="D97" i="12"/>
  <c r="C97" i="12"/>
  <c r="I95" i="12"/>
  <c r="H95" i="12"/>
  <c r="G95" i="12"/>
  <c r="F95" i="12"/>
  <c r="D95" i="12"/>
  <c r="C95" i="12"/>
  <c r="I93" i="12"/>
  <c r="H93" i="12"/>
  <c r="G93" i="12"/>
  <c r="F93" i="12"/>
  <c r="D93" i="12"/>
  <c r="C93" i="12"/>
  <c r="I91" i="12"/>
  <c r="H91" i="12"/>
  <c r="G91" i="12"/>
  <c r="F91" i="12"/>
  <c r="D91" i="12"/>
  <c r="C91" i="12"/>
  <c r="I89" i="12"/>
  <c r="H89" i="12"/>
  <c r="G89" i="12"/>
  <c r="F89" i="12"/>
  <c r="D89" i="12"/>
  <c r="C89" i="12"/>
  <c r="D99" i="12" l="1"/>
  <c r="E89" i="12"/>
  <c r="E97" i="12"/>
  <c r="G99" i="12"/>
  <c r="C99" i="12"/>
  <c r="H99" i="12"/>
  <c r="F99" i="12"/>
  <c r="E95" i="12"/>
  <c r="E91" i="12"/>
  <c r="I99" i="12"/>
  <c r="E93" i="12"/>
  <c r="E99" i="12" l="1"/>
  <c r="F81" i="11"/>
  <c r="F136" i="11" s="1"/>
  <c r="F94" i="11"/>
  <c r="F138" i="11" s="1"/>
  <c r="G109" i="11"/>
  <c r="H109" i="11"/>
  <c r="H134" i="11" s="1"/>
  <c r="I109" i="11"/>
  <c r="F109" i="11"/>
  <c r="F108" i="11" s="1"/>
  <c r="I94" i="11"/>
  <c r="H94" i="11"/>
  <c r="G94" i="11"/>
  <c r="G81" i="11"/>
  <c r="G136" i="11" s="1"/>
  <c r="H81" i="11"/>
  <c r="I81" i="11"/>
  <c r="I136" i="11" s="1"/>
  <c r="G72" i="11"/>
  <c r="I72" i="11"/>
  <c r="F72" i="11"/>
  <c r="F71" i="11" l="1"/>
  <c r="I134" i="11"/>
  <c r="G71" i="11"/>
  <c r="G134" i="11"/>
  <c r="H136" i="11"/>
  <c r="H71" i="11"/>
  <c r="F134" i="11"/>
  <c r="E94" i="11"/>
  <c r="E81" i="11"/>
  <c r="E114" i="11"/>
  <c r="E148" i="11"/>
  <c r="F140" i="11" l="1"/>
  <c r="H108" i="11"/>
  <c r="G108" i="11"/>
  <c r="I108" i="11"/>
  <c r="I71" i="11"/>
  <c r="I207" i="11"/>
  <c r="H207" i="11"/>
  <c r="G207" i="11"/>
  <c r="C207" i="11"/>
  <c r="I206" i="11"/>
  <c r="H206" i="11"/>
  <c r="G206" i="11"/>
  <c r="F206" i="11"/>
  <c r="E206" i="11"/>
  <c r="C206" i="11"/>
  <c r="I205" i="11"/>
  <c r="H205" i="11"/>
  <c r="G205" i="11"/>
  <c r="F205" i="11"/>
  <c r="E205" i="11"/>
  <c r="C205" i="11"/>
  <c r="I204" i="11"/>
  <c r="H204" i="11"/>
  <c r="G204" i="11"/>
  <c r="F204" i="11"/>
  <c r="E204" i="11"/>
  <c r="C204" i="11"/>
  <c r="I203" i="11"/>
  <c r="H203" i="11"/>
  <c r="G203" i="11"/>
  <c r="F203" i="11"/>
  <c r="E203" i="11"/>
  <c r="C203" i="11"/>
  <c r="I202" i="11"/>
  <c r="H202" i="11"/>
  <c r="G202" i="11"/>
  <c r="F202" i="11"/>
  <c r="E202" i="11"/>
  <c r="C202" i="11"/>
  <c r="D198" i="11"/>
  <c r="C198" i="11"/>
  <c r="E197" i="11"/>
  <c r="E207" i="11" s="1"/>
  <c r="I167" i="11"/>
  <c r="H167" i="11"/>
  <c r="G167" i="11"/>
  <c r="F167" i="11"/>
  <c r="E167" i="11"/>
  <c r="D167" i="11"/>
  <c r="C167" i="11"/>
  <c r="I162" i="11"/>
  <c r="H162" i="11"/>
  <c r="G162" i="11"/>
  <c r="F162" i="11"/>
  <c r="E162" i="11"/>
  <c r="D162" i="11"/>
  <c r="D173" i="11" s="1"/>
  <c r="C162" i="11"/>
  <c r="F148" i="11"/>
  <c r="F174" i="11" s="1"/>
  <c r="I142" i="11"/>
  <c r="H142" i="11"/>
  <c r="G142" i="11"/>
  <c r="F142" i="11"/>
  <c r="E142" i="11"/>
  <c r="C142" i="11"/>
  <c r="I138" i="11"/>
  <c r="I130" i="11"/>
  <c r="I140" i="11" s="1"/>
  <c r="H130" i="11"/>
  <c r="E109" i="11"/>
  <c r="H138" i="11"/>
  <c r="G138" i="11"/>
  <c r="E49" i="11"/>
  <c r="E48" i="11"/>
  <c r="E47" i="11"/>
  <c r="I46" i="11"/>
  <c r="I40" i="11" s="1"/>
  <c r="H40" i="11"/>
  <c r="G46" i="11"/>
  <c r="G40" i="11" s="1"/>
  <c r="E45" i="11"/>
  <c r="E44" i="11"/>
  <c r="E42" i="11"/>
  <c r="E41" i="11"/>
  <c r="E38" i="11"/>
  <c r="F40" i="11" l="1"/>
  <c r="F173" i="11" s="1"/>
  <c r="E46" i="11"/>
  <c r="H173" i="11"/>
  <c r="H140" i="11"/>
  <c r="I174" i="11"/>
  <c r="G174" i="11"/>
  <c r="C173" i="11"/>
  <c r="H174" i="11"/>
  <c r="I173" i="11"/>
  <c r="G140" i="11"/>
  <c r="G173" i="11"/>
  <c r="E130" i="11"/>
  <c r="E138" i="11"/>
  <c r="E72" i="11"/>
  <c r="E71" i="11" s="1"/>
  <c r="E136" i="11"/>
  <c r="E40" i="11" l="1"/>
  <c r="E173" i="11" s="1"/>
  <c r="E108" i="11"/>
  <c r="E174" i="11" s="1"/>
  <c r="E134" i="11"/>
  <c r="E140" i="11" l="1"/>
  <c r="X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2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<sst xmlns="http://schemas.openxmlformats.org/spreadsheetml/2006/main" count="1123" uniqueCount="519">
  <si>
    <t>"ЗАТВЕРДЖЕНО"</t>
  </si>
  <si>
    <t>П'ятихатської міської ради</t>
  </si>
  <si>
    <t>М.П.</t>
  </si>
  <si>
    <t>Проект</t>
  </si>
  <si>
    <t>Уточнений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</si>
  <si>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</si>
  <si>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</si>
  <si>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</si>
  <si>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</si>
  <si>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</si>
  <si>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</si>
  <si>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</si>
  <si>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</si>
  <si>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</si>
  <si>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</si>
  <si>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</si>
  <si>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</si>
  <si>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</si>
  <si>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</si>
  <si>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</si>
  <si>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</si>
  <si>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</si>
  <si>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</si>
  <si>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</si>
  <si>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</si>
  <si>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</si>
  <si>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</si>
  <si>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</si>
  <si>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Плановий рік  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</si>
  <si>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</si>
  <si>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</si>
  <si>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</si>
  <si>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</si>
  <si>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</si>
  <si>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</si>
  <si>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Дохід (виручка) від реалізації продукції (товарів, робіт, послуг)</t>
  </si>
  <si>
    <t>Інші доходи від операційної діяльності, в т.ч.:</t>
  </si>
  <si>
    <t>дохід від оренди активів</t>
  </si>
  <si>
    <t>дохід від реалізації майна</t>
  </si>
  <si>
    <t xml:space="preserve">інші доходи </t>
  </si>
  <si>
    <t>________________ __________</t>
  </si>
  <si>
    <t>"     "                                  р.</t>
  </si>
  <si>
    <t>благодійні внески від громадян та організацій тощо</t>
  </si>
  <si>
    <t>Собівартість реалізованої продукції (товарів, робіт, послуг), у тому числі:</t>
  </si>
  <si>
    <t>Витрати на комунальні послуги та енергоносії, в т.ч.:</t>
  </si>
  <si>
    <t>витрати на природний газ</t>
  </si>
  <si>
    <t>Витрати на оплату праці</t>
  </si>
  <si>
    <t>Відрахування на соціальні заходи</t>
  </si>
  <si>
    <t>витрати на службові відрядження</t>
  </si>
  <si>
    <t>витрати на зв'язок та інтернет</t>
  </si>
  <si>
    <t>витрати на культурно-масові заходи</t>
  </si>
  <si>
    <t>витрати на обслуговування орг. техніки</t>
  </si>
  <si>
    <t>ІІ. Елементи операційних витрат</t>
  </si>
  <si>
    <t>Витрати на оплату праці, в т.ч.:</t>
  </si>
  <si>
    <t>Матеріальні затрати</t>
  </si>
  <si>
    <t>Інші операційні витрати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</si>
  <si>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</si>
  <si>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</si>
  <si>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</si>
  <si>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</si>
  <si>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</si>
  <si>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</si>
  <si>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</si>
  <si>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</si>
  <si>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</si>
  <si>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</si>
  <si>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</si>
  <si>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</si>
  <si>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</si>
  <si>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</si>
  <si>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</si>
  <si>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</si>
  <si>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</si>
  <si>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</si>
  <si>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Нерозподілені доходи</t>
  </si>
  <si>
    <t>на 1.01</t>
  </si>
  <si>
    <t>на 1.04</t>
  </si>
  <si>
    <t>на 1.07</t>
  </si>
  <si>
    <t>на 1.10</t>
  </si>
  <si>
    <t>Заборгованість перед працівниками за заробітною платою</t>
  </si>
  <si>
    <t xml:space="preserve">                                (посада)</t>
  </si>
  <si>
    <t>______________________</t>
  </si>
  <si>
    <t>дохід від одержаних грантів та субсідій</t>
  </si>
  <si>
    <t>у т.ч. за рахунок місцевого бюджету</t>
  </si>
  <si>
    <t>продукти харчування</t>
  </si>
  <si>
    <t>Дебіторська заборгованість</t>
  </si>
  <si>
    <t>Кредиторська заборгованість</t>
  </si>
  <si>
    <t>витрати на теплопостачання</t>
  </si>
  <si>
    <t xml:space="preserve">Чистий фінансовий результат,
у тому числі:
</t>
  </si>
  <si>
    <t>прибуток</t>
  </si>
  <si>
    <t>збиток</t>
  </si>
  <si>
    <t>Дані про персонал та витрати на оплату праці</t>
  </si>
  <si>
    <t xml:space="preserve">Середня кількість працівників
(штатних працівників, зовнішніх сумісників та працівників, які працюють
за цивільно-правовими договорами), у тому числі:
</t>
  </si>
  <si>
    <t>адміністративно-управлінський персонал</t>
  </si>
  <si>
    <t>лікарській персонал</t>
  </si>
  <si>
    <t>спеціалісти-немедики</t>
  </si>
  <si>
    <t>інший персонал</t>
  </si>
  <si>
    <t>фахівці з базовою та неповною вищою медичною освітою</t>
  </si>
  <si>
    <t>молодший медичний персонал</t>
  </si>
  <si>
    <t xml:space="preserve">Середньомісячні витрати на оплату праці
одного працівника (грн), усього, у тому числі:
</t>
  </si>
  <si>
    <t>Відомості про майно</t>
  </si>
  <si>
    <t>Відомості про заборгованість</t>
  </si>
  <si>
    <t>Надходження (дохід, виручка) від реалізації продукції (товарів, робіт, послуг), в т.ч.:</t>
  </si>
  <si>
    <t>I. Формування фінансових результатів</t>
  </si>
  <si>
    <t>надходження коштів як компенсація орендарем комунальних послуг</t>
  </si>
  <si>
    <t>VІ. Додаткова інформація</t>
  </si>
  <si>
    <t>І.І. Доходи</t>
  </si>
  <si>
    <t>І.ІІ. Видатки</t>
  </si>
  <si>
    <t>V. Фінансовий результат діяльності</t>
  </si>
  <si>
    <t xml:space="preserve">   доходи за програмою медичних гарантій від НСЗУ</t>
  </si>
  <si>
    <t>Виконавець</t>
  </si>
  <si>
    <t>№ з/п</t>
  </si>
  <si>
    <t>Найменування обєкта</t>
  </si>
  <si>
    <t>Залучення кредитних коштів</t>
  </si>
  <si>
    <t>рік</t>
  </si>
  <si>
    <t>у тому числі за кварталами</t>
  </si>
  <si>
    <t>І</t>
  </si>
  <si>
    <t>ІІ</t>
  </si>
  <si>
    <t>ІІІ</t>
  </si>
  <si>
    <t>ІV</t>
  </si>
  <si>
    <t>Бюджетне фінансування</t>
  </si>
  <si>
    <t>Усього</t>
  </si>
  <si>
    <t>придбання (виготовлення) основних засобів (розшифрувати)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</si>
  <si>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</si>
  <si>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дообладнення, реконструкція) (розшифрувати)</t>
  </si>
  <si>
    <t>Відсоток</t>
  </si>
  <si>
    <t xml:space="preserve">                  (посада)</t>
  </si>
  <si>
    <t>_______________________</t>
  </si>
  <si>
    <t xml:space="preserve">                    (підпис)</t>
  </si>
  <si>
    <t xml:space="preserve">         (Власне ім'я, ПРІЗВИЩЕ)    </t>
  </si>
  <si>
    <t>Джерела капітальних інвестицій</t>
  </si>
  <si>
    <t>тис.грн. (без ПДВ)</t>
  </si>
  <si>
    <t>(рядок 3100 Фінансового плану)</t>
  </si>
  <si>
    <t>Найменування об'єкта</t>
  </si>
  <si>
    <t>Рік початку і закінчення будівництва</t>
  </si>
  <si>
    <t>Загальна кошторисна вартість</t>
  </si>
  <si>
    <t>Первисна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</si>
  <si>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</si>
  <si>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</si>
  <si>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освоєння капітальних вкладень</t>
  </si>
  <si>
    <t>фінансування капітальних інвестицій (оплата грошовими коштами), усього</t>
  </si>
  <si>
    <t>у тому числі:</t>
  </si>
  <si>
    <t>власні кошти</t>
  </si>
  <si>
    <t>кредитні кошти</t>
  </si>
  <si>
    <t>інші джерела (зазначити джерело)</t>
  </si>
  <si>
    <t>Інформація щодо проектно-кошторисної документації (стан розроблення, затвердження, у разі затвердження зазначити субєкт управління, яким затверджено та відповідний документ)</t>
  </si>
  <si>
    <t>Документ, яким затверджений титул будови, із зазначенням субєкта управління, який його погодив</t>
  </si>
  <si>
    <t>Капітальне будівництво</t>
  </si>
  <si>
    <t>тис.грн., без ПДВ</t>
  </si>
  <si>
    <t>(рядок 3110 Фінансового плану)</t>
  </si>
  <si>
    <t>Таблиця 1</t>
  </si>
  <si>
    <t>Таблиця 2</t>
  </si>
  <si>
    <t>Заборгованість за кредитами на початок ________ року</t>
  </si>
  <si>
    <t>Сума основного боргу</t>
  </si>
  <si>
    <t>відсотки нараховані</t>
  </si>
  <si>
    <t>План із залучення коштів</t>
  </si>
  <si>
    <t>План з повернення коштів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</si>
  <si>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</si>
  <si>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</si>
  <si>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</si>
  <si>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 (+/-)</t>
  </si>
  <si>
    <t>курсові різниці (відсотки) (+/-)</t>
  </si>
  <si>
    <t>Заборгованість за кредитами на кінець ________ року</t>
  </si>
  <si>
    <t>Інформація щодо отримання та повернення залучених коштів</t>
  </si>
  <si>
    <t>грн.</t>
  </si>
  <si>
    <t>Таблиця 3</t>
  </si>
  <si>
    <t>Зобов'язання</t>
  </si>
  <si>
    <t>Довгострокові зобов'язання, усього, у тому числі:</t>
  </si>
  <si>
    <t>Короткострокові зобов'язання, усього, у тому числі:</t>
  </si>
  <si>
    <t>Інші фінансові зобов'язання, усього, у тому числі:</t>
  </si>
  <si>
    <t>Таблиця 4</t>
  </si>
  <si>
    <t>Марка</t>
  </si>
  <si>
    <t>Рік придбання</t>
  </si>
  <si>
    <t>Мета використання</t>
  </si>
  <si>
    <t>Витрати, усього</t>
  </si>
  <si>
    <t>Договір</t>
  </si>
  <si>
    <t>Дата початку оренди</t>
  </si>
  <si>
    <t>плановий рік</t>
  </si>
  <si>
    <t>…</t>
  </si>
  <si>
    <t>Витрати на комунальні послуги та енергоносії</t>
  </si>
  <si>
    <t>Адміністративні витрати, в т.ч.:</t>
  </si>
  <si>
    <t xml:space="preserve">на окремі заходи по реалізації місцевих програм,  в т.ч.: (розшифрувати) </t>
  </si>
  <si>
    <t>Інші доходи, т.ч.: (розшифрувати)</t>
  </si>
  <si>
    <t>за програмою фінансової підтримки, в т.ч.:</t>
  </si>
  <si>
    <t xml:space="preserve">    на покриття вартості комунальних послуг та енергоносіїв </t>
  </si>
  <si>
    <t>Дохід з місцевого бюджету за цільовими програмами, в т.ч.:</t>
  </si>
  <si>
    <t>Дохід за державною програмою медичних гарантій</t>
  </si>
  <si>
    <t>Дохід з державного (обласного) бюджету за цільовими програмами, в т.ч.:</t>
  </si>
  <si>
    <t>Назва майна</t>
  </si>
  <si>
    <t>Місце знаходження</t>
  </si>
  <si>
    <t>Сума нарахованого зносу (тис.грн.)</t>
  </si>
  <si>
    <t>Земельні ділянки</t>
  </si>
  <si>
    <t>в т.ч. передано в оренду</t>
  </si>
  <si>
    <t>Будинки та споруди</t>
  </si>
  <si>
    <t>Машини та обладнання</t>
  </si>
  <si>
    <t>Транспортні засоби</t>
  </si>
  <si>
    <t>Інструменти, прилади, інвентар</t>
  </si>
  <si>
    <t>Інші основні засоби</t>
  </si>
  <si>
    <t>Всього</t>
  </si>
  <si>
    <t>Таблиця 5</t>
  </si>
  <si>
    <t xml:space="preserve">Фактичний стан майна </t>
  </si>
  <si>
    <t xml:space="preserve">ВИКОРИСТАННЯ ТРУДОВИХ РЕСУРСІВ </t>
  </si>
  <si>
    <t>Назва показника</t>
  </si>
  <si>
    <t>Плановий рік (всього)</t>
  </si>
  <si>
    <t>у тому числі</t>
  </si>
  <si>
    <t>всього</t>
  </si>
  <si>
    <t>в т.ч. адмінперсонал</t>
  </si>
  <si>
    <t>Кількість вакантних місць</t>
  </si>
  <si>
    <t>Вибуло працівників (шт.од.)</t>
  </si>
  <si>
    <t>Фонд оплати праці штатних працівників (тис.грн.) в тому числі</t>
  </si>
  <si>
    <t>5.1.</t>
  </si>
  <si>
    <t>основна</t>
  </si>
  <si>
    <t>5.2.</t>
  </si>
  <si>
    <t>додаткова</t>
  </si>
  <si>
    <t>5.2.1.</t>
  </si>
  <si>
    <t>надбавки та доплати</t>
  </si>
  <si>
    <t>5.2.2.</t>
  </si>
  <si>
    <t>премії</t>
  </si>
  <si>
    <t>5.2.3.</t>
  </si>
  <si>
    <t>5.2.4.</t>
  </si>
  <si>
    <t>матеріальна допомога</t>
  </si>
  <si>
    <t>відпускні</t>
  </si>
  <si>
    <t>5.2.6.</t>
  </si>
  <si>
    <t>інші заохочувальні та компенсаційні виплати (за вислугу років, за підсумками роботи за рік, тощо)</t>
  </si>
  <si>
    <t>Середньомісячна заробітна плата штатних працівників</t>
  </si>
  <si>
    <t>Сеоредньоспискова чисельнисть працівників за договорами (цивільно-правовий договір, договір-підряду, тощо) за звітний період</t>
  </si>
  <si>
    <t>Фонд оплати праці працівників за договорами (тис.грн.)</t>
  </si>
  <si>
    <t>ВСЬОГО ФОНД ОПЛАТИ ПРАЦІ (тис.грн.)</t>
  </si>
  <si>
    <t>Плановий рік до плану поточного року, %</t>
  </si>
  <si>
    <t xml:space="preserve">Витрати, повязані з використанням власних службових автомобілів </t>
  </si>
  <si>
    <t>Витрати на оренду службових автомобілів</t>
  </si>
  <si>
    <t>Транспортні витрати</t>
  </si>
  <si>
    <t>Таблиця 6</t>
  </si>
  <si>
    <t>Залишок коштів на початок періоду</t>
  </si>
  <si>
    <t>Чистий рух коштів від операційної діяльності</t>
  </si>
  <si>
    <t>Чистий рух коштів від інвестиційної діяльності </t>
  </si>
  <si>
    <t>Чистий рух коштів від фінансової діяльності</t>
  </si>
  <si>
    <t>Уточнений фінансовий план поточного року</t>
  </si>
  <si>
    <t xml:space="preserve">Цільове фінансування </t>
  </si>
  <si>
    <t>сума рядків 0110-0140</t>
  </si>
  <si>
    <t>1041…</t>
  </si>
  <si>
    <t>1051/1</t>
  </si>
  <si>
    <t>1052/1…</t>
  </si>
  <si>
    <t>1061…</t>
  </si>
  <si>
    <t>сума рядків 1071-1076</t>
  </si>
  <si>
    <t>сума рядків 1051,1052</t>
  </si>
  <si>
    <t>сума рядків 1010,1020,1030,1040,1050,1060,1070</t>
  </si>
  <si>
    <t>Усього доходів (сума рядків 0100, 1000, 3000, 4000)</t>
  </si>
  <si>
    <t>дохід з інших джерел по капітальних видатках</t>
  </si>
  <si>
    <t>сума рядків 3001,3002</t>
  </si>
  <si>
    <t>сума рядків 3110, 3120, 3130, 3140, 3150, 3160</t>
  </si>
  <si>
    <t>сума рядків 4001-4003, 4010</t>
  </si>
  <si>
    <t>сума рядків 4021-4023, 4030</t>
  </si>
  <si>
    <t>Усього витрат (сума рядків 1100, 1300, 1500, 1600, 1700, 3100, 4020)</t>
  </si>
  <si>
    <t>Витрати на оплату праці (грн.), усього, в тому числі:</t>
  </si>
  <si>
    <t>Середня кількість штатних працівників за звітний період*</t>
  </si>
  <si>
    <t>Облікова  кількість штатних працівників*</t>
  </si>
  <si>
    <t>*По ІНСТРУКЦІЇ ЗІ СТАТИСТИКИ КІЛЬКОСТІ ПРАЦІВНИКІВ, затверджена наказом Державного комітету статистики України від 28.09.2005 р. №286</t>
  </si>
  <si>
    <t>уточнений фінансовий план поточного року</t>
  </si>
  <si>
    <t>Код рядка</t>
  </si>
  <si>
    <t>(підпис)</t>
  </si>
  <si>
    <t>тис. грн. (0,000)</t>
  </si>
  <si>
    <t xml:space="preserve">У разі збільшення витрат на оплату праці в плановому році порівняно з установленим рівнем поточного року надаються відповідні обґрунтування. </t>
  </si>
  <si>
    <t>9</t>
  </si>
  <si>
    <t>Затверджений</t>
  </si>
  <si>
    <t>Х</t>
  </si>
  <si>
    <t>Комунальне підприємство</t>
  </si>
  <si>
    <r>
      <rPr>
        <sz val="10"/>
        <rFont val="Times New Roman"/>
        <family val="1"/>
        <charset val="204"/>
      </rPr>
      <t xml:space="preserve">Орган управління  </t>
    </r>
    <r>
      <rPr>
        <b/>
        <i/>
        <sz val="10"/>
        <rFont val="Times New Roman"/>
        <family val="1"/>
        <charset val="204"/>
      </rPr>
      <t xml:space="preserve"> </t>
    </r>
  </si>
  <si>
    <t>П'ятихатська міська рада</t>
  </si>
  <si>
    <t>Охорона здоров'я</t>
  </si>
  <si>
    <t>Загальна медична практика</t>
  </si>
  <si>
    <t>Комунальна</t>
  </si>
  <si>
    <t>Залишок коштів, отриманих як компенсація орендарем комунальних послуг</t>
  </si>
  <si>
    <t>плата за послуги, що надаються згідно з основною діяльністю (платні медичні, стоматологічні послуги)</t>
  </si>
  <si>
    <t>Дохід за рахунок трансфертів з інших місцевих бюджетів</t>
  </si>
  <si>
    <t>на оплату праці</t>
  </si>
  <si>
    <t>1051/2</t>
  </si>
  <si>
    <t xml:space="preserve"> на соціальні заходи</t>
  </si>
  <si>
    <t>1051/3</t>
  </si>
  <si>
    <t>на предмети, матеріали, обладнання та інвентар</t>
  </si>
  <si>
    <t>1051/4</t>
  </si>
  <si>
    <t>на продукти харчуванння</t>
  </si>
  <si>
    <t>1051/5</t>
  </si>
  <si>
    <t>на медикаменти та перев'язувальні матеріали</t>
  </si>
  <si>
    <t>1051/6</t>
  </si>
  <si>
    <t>на оплату послуг (крім комунальних)</t>
  </si>
  <si>
    <t>1051/7</t>
  </si>
  <si>
    <t>на інші виплати населенню</t>
  </si>
  <si>
    <t>1051/8</t>
  </si>
  <si>
    <t xml:space="preserve">   доходи від страхової діяльності тощо</t>
  </si>
  <si>
    <t>сума рядків 1110,1120,1130,1140,1150</t>
  </si>
  <si>
    <t>Матеріальні витрати , в т.ч.:</t>
  </si>
  <si>
    <t>сума рядків 1111-1116</t>
  </si>
  <si>
    <t>медикаменти та перев'язувальні матеріали</t>
  </si>
  <si>
    <t>запасні частини до транспортних засобів</t>
  </si>
  <si>
    <t>витрати на паливо-мастильні матеріали</t>
  </si>
  <si>
    <t xml:space="preserve">інші витрати </t>
  </si>
  <si>
    <t>витрати на електроенергію, в т.ч.:</t>
  </si>
  <si>
    <t>за рахунок відшкодування</t>
  </si>
  <si>
    <t>від орендарів</t>
  </si>
  <si>
    <t>витрати на водопостачання та водовідведення, в т.ч.:</t>
  </si>
  <si>
    <t>оплата інших енергоносіїв та інших комунальних послуг</t>
  </si>
  <si>
    <t>Оплата послуг (крім комунальних), в .ч.:</t>
  </si>
  <si>
    <t>витрати, що здійснюються для підтримання об’єкта в робочому стані (проведення ремонту, технічного огляду, нагляду, обслуговування,  організаційно-технічні послуги, консультаційні та інформаційні послуги, витрати на охорону праці загальногосподарського персоналу, витрати на страхові послуги тощо)</t>
  </si>
  <si>
    <t>витрати на відрядження</t>
  </si>
  <si>
    <t>виплата пенсій і допомоги</t>
  </si>
  <si>
    <t>інші витрати (розшифрувати)</t>
  </si>
  <si>
    <t>сума рядків 1310,1320,1330,1340,1350</t>
  </si>
  <si>
    <t>Матеріальні витрати, в т.ч.</t>
  </si>
  <si>
    <t>сума рядків 1311-1313</t>
  </si>
  <si>
    <t>предмети, матеріали, обладнання та інвентар у т. ч. офісне приладдя та устаткування, витрати на канцтовари,  тощо</t>
  </si>
  <si>
    <t>Витрати на запасні частини до транспортних засобів та паливно мастильні</t>
  </si>
  <si>
    <t>сума рядків 1140,1340</t>
  </si>
  <si>
    <t>сума рядків 1150,1350</t>
  </si>
  <si>
    <t>сума рядків 1110,1310</t>
  </si>
  <si>
    <t>сума рядків 1120,1330</t>
  </si>
  <si>
    <t>сума рядків 1130,1320</t>
  </si>
  <si>
    <t>РАЗОМ (сума рядків 2000,2010,2020,2030,2040)</t>
  </si>
  <si>
    <t>Вартість основних засобів, грн</t>
  </si>
  <si>
    <t>1111/1</t>
  </si>
  <si>
    <t xml:space="preserve">для пільгової категорії населення </t>
  </si>
  <si>
    <t>господарчі/будівельні  товари та інвентар, в т.ч.:</t>
  </si>
  <si>
    <t>1114/1</t>
  </si>
  <si>
    <t>малоцінні товари</t>
  </si>
  <si>
    <t>витрати на вивіз ТВП, нечистот</t>
  </si>
  <si>
    <t>сума рядків 1121-1126</t>
  </si>
  <si>
    <t>інші виплати населенню</t>
  </si>
  <si>
    <t>виплати лікарям-інтернем</t>
  </si>
  <si>
    <t>витрати по виконанню цільових програм</t>
  </si>
  <si>
    <t>витрати на ремонт авто</t>
  </si>
  <si>
    <t>Господарчі та будівельні  товари та інвентар, в т.ч.:</t>
  </si>
  <si>
    <t>1313/2</t>
  </si>
  <si>
    <t>сума рядків 1321-1326</t>
  </si>
  <si>
    <t>сума рядків 1114/1</t>
  </si>
  <si>
    <t>сума рядків 1313/1</t>
  </si>
  <si>
    <t>Додаток 1.7.</t>
  </si>
  <si>
    <t>ЗВІТ ПРО ВИКОНАННЯ ФІНАНСОВОГО ПЛАНУ</t>
  </si>
  <si>
    <t>(назва підприємства)</t>
  </si>
  <si>
    <t>за ____________ 20__ року</t>
  </si>
  <si>
    <t>Показники </t>
  </si>
  <si>
    <t>Звітний період (___________ 20__ року)</t>
  </si>
  <si>
    <t>Звітний період наростаючим підсумком з початку року</t>
  </si>
  <si>
    <t>план</t>
  </si>
  <si>
    <t>факт</t>
  </si>
  <si>
    <t>відхилення, +/-            (ст.4 - ст.3)</t>
  </si>
  <si>
    <t>відхилення, %  (ст.4/ст.3)х100</t>
  </si>
  <si>
    <t>відхилення, +/-            (ст.8 - ст.7)</t>
  </si>
  <si>
    <t>відхилення, %  (ст.8/ст.7)х100</t>
  </si>
  <si>
    <t>1 </t>
  </si>
  <si>
    <t>2 </t>
  </si>
  <si>
    <t>І. Формування фінансових результатів</t>
  </si>
  <si>
    <t>І.І.Доходи</t>
  </si>
  <si>
    <t>Дохід за рахунок трансфертів з інших місцевих бюдетів</t>
  </si>
  <si>
    <t>Вартість основних засобів</t>
  </si>
  <si>
    <t>VІІ. Коефіцієнтний аналіз</t>
  </si>
  <si>
    <t>Питома вага доходу з місцевого бюджету у загальних доходах підприємства (%),  (рядок 1050/рядок 5000)х100</t>
  </si>
  <si>
    <t>х</t>
  </si>
  <si>
    <t>Питома вага комунальних витрат у загальних видатках підприємства (%),  ((рядок 1130+1140+1380)/рядок 5010))х100</t>
  </si>
  <si>
    <t>Питома вага капітальних видатків у загальних видатках підприємства (%),  (рядок 3100/рядок 5010)х100</t>
  </si>
  <si>
    <t>Питома вага сумарного ФОП з нарахуваннями у загальних  видатках підприємства (%),  ((рядок 2000+2010)/рядок 5010))х100</t>
  </si>
  <si>
    <t>52100 Дніпропетровська область, Кам'янський район, м. П'ятихатки</t>
  </si>
  <si>
    <t>1326/1</t>
  </si>
  <si>
    <t>витрати на придбання та супровід програмного забезпечення</t>
  </si>
  <si>
    <t>01989088</t>
  </si>
  <si>
    <t>тис.грн</t>
  </si>
  <si>
    <t>86.21</t>
  </si>
  <si>
    <t>Інші джерела (надходження  від НСЗУ)</t>
  </si>
  <si>
    <t>Власні кошти (надходження спеціального фонду)</t>
  </si>
  <si>
    <t>Прокопенко , 13</t>
  </si>
  <si>
    <t>Привокзальна,344</t>
  </si>
  <si>
    <t>В.о.директора</t>
  </si>
  <si>
    <t>Головний бухгалтер</t>
  </si>
  <si>
    <t>УАЗ-3962</t>
  </si>
  <si>
    <t>службова</t>
  </si>
  <si>
    <t>ЗАЗ Sens</t>
  </si>
  <si>
    <t>ВАЗ -21074</t>
  </si>
  <si>
    <t>В.о. директора</t>
  </si>
  <si>
    <t xml:space="preserve">Рішення  сесії </t>
  </si>
  <si>
    <t>від                                  року  №</t>
  </si>
  <si>
    <t>0,01сума рядків 1150,1350</t>
  </si>
  <si>
    <t>л</t>
  </si>
  <si>
    <t>Любов ЯКУШЕВА</t>
  </si>
  <si>
    <t>-</t>
  </si>
  <si>
    <t>Будинки та споруди ВСЬОГО</t>
  </si>
  <si>
    <t>П'ятихатська АЗПСМ - 2 Головний корпус</t>
  </si>
  <si>
    <t>м. П'ятихатки, вул. Привокзальна, 344</t>
  </si>
  <si>
    <t>Не використовується</t>
  </si>
  <si>
    <t>П'ятихатський ЦПМСД</t>
  </si>
  <si>
    <t>м. П'ятихатки, вул. Свободи, 13</t>
  </si>
  <si>
    <t>Використовується</t>
  </si>
  <si>
    <t xml:space="preserve">Жовтянська АЗПСМ </t>
  </si>
  <si>
    <t>с. Жовте, вул. Осипенко, 1</t>
  </si>
  <si>
    <r>
      <rPr>
        <sz val="12"/>
        <color rgb="FF000000"/>
        <rFont val="Times New Roman"/>
        <family val="1"/>
        <charset val="204"/>
      </rPr>
      <t>Зорянська АЗПСМ</t>
    </r>
    <r>
      <rPr>
        <b/>
        <sz val="12"/>
        <color rgb="FF000000"/>
        <rFont val="Times New Roman"/>
        <family val="1"/>
        <charset val="204"/>
      </rPr>
      <t xml:space="preserve"> </t>
    </r>
  </si>
  <si>
    <t>с. Зоря, вул. Нова, 2а.</t>
  </si>
  <si>
    <t>Богдано-Надеждівська ФП</t>
  </si>
  <si>
    <t>с. Богдано - Надеждівка, вул. Сонячна, 1</t>
  </si>
  <si>
    <r>
      <rPr>
        <sz val="12"/>
        <color rgb="FF000000"/>
        <rFont val="Times New Roman"/>
        <family val="1"/>
        <charset val="204"/>
      </rPr>
      <t>Пальмирівський ФП</t>
    </r>
    <r>
      <rPr>
        <b/>
        <sz val="12"/>
        <color rgb="FF000000"/>
        <rFont val="Times New Roman"/>
        <family val="1"/>
        <charset val="204"/>
      </rPr>
      <t xml:space="preserve"> </t>
    </r>
  </si>
  <si>
    <t>с. Пальмирівка, вул. Центральна, 38</t>
  </si>
  <si>
    <t xml:space="preserve">Чистопільський ФП </t>
  </si>
  <si>
    <t xml:space="preserve">с. Чистопіль, вул. Поштова, 5 </t>
  </si>
  <si>
    <t>Культурянський ФП</t>
  </si>
  <si>
    <t>с. Культура, вул. Миру, 72</t>
  </si>
  <si>
    <t xml:space="preserve">Миролюбівський ФП </t>
  </si>
  <si>
    <t>с. Миролюбівка, вул. Богдана Хмельницького, 143</t>
  </si>
  <si>
    <t xml:space="preserve">Виноградівський ФП </t>
  </si>
  <si>
    <t>с. Виноградівка, вул. Пушкіна, 27</t>
  </si>
  <si>
    <t xml:space="preserve">Жовто-Олександрівський ФП </t>
  </si>
  <si>
    <t>с. Жовтоолександрівка, вул. Олександрова, 47а</t>
  </si>
  <si>
    <t xml:space="preserve">Івашинівський ФП </t>
  </si>
  <si>
    <t>с. Івашинівка, вул. Центральна, 3в</t>
  </si>
  <si>
    <t>Машини та обладнання ВСЬОГО</t>
  </si>
  <si>
    <t>П'ятихатська АЗПСМ</t>
  </si>
  <si>
    <t>м. П'ятихатки, вул. Свободи, 14</t>
  </si>
  <si>
    <t>Жовтянська АЗПСМ</t>
  </si>
  <si>
    <t>Ерастівська АЗПСМ</t>
  </si>
  <si>
    <t>с. Вишневе, вул. Бродського, 1</t>
  </si>
  <si>
    <t>Саксаганська АЗПСМ</t>
  </si>
  <si>
    <t>с. Саксагань, вул. Соловйова, 1</t>
  </si>
  <si>
    <t>Лихівська АЗПСМ</t>
  </si>
  <si>
    <t>с. Лихівка, вул. Набережна, 75</t>
  </si>
  <si>
    <t>Зорянська АЗПСМ</t>
  </si>
  <si>
    <t>Троїцький ФП</t>
  </si>
  <si>
    <t>с. Троъцьке, вул. Центральна, 43</t>
  </si>
  <si>
    <t>Нерудстальська АЗПСМ</t>
  </si>
  <si>
    <t>с. Нерудсталь, вул. Больнична, 1</t>
  </si>
  <si>
    <t>Богдано - Надеждівська ФП</t>
  </si>
  <si>
    <t>Вишнівська АЗПСМ</t>
  </si>
  <si>
    <t>с. Вишневе, вул. Центральна, 47</t>
  </si>
  <si>
    <t>Вільнівська АЗПСМ</t>
  </si>
  <si>
    <t>с. Вільне, вул. Калініна, 70</t>
  </si>
  <si>
    <t>Комисарівський ФП</t>
  </si>
  <si>
    <t>с. Комісарівка, вул. Миру, 22</t>
  </si>
  <si>
    <t>Пальмирівський ФП</t>
  </si>
  <si>
    <t>Красноіванівський ФП</t>
  </si>
  <si>
    <t>с. Красноіванівка, вул. Кірова, 66</t>
  </si>
  <si>
    <t>Долинський ФП</t>
  </si>
  <si>
    <t>с. Долинське, вул. Центральна, 2</t>
  </si>
  <si>
    <t>Чумаківський ФП</t>
  </si>
  <si>
    <t>с. Чумаки, вул. Радянська, 1</t>
  </si>
  <si>
    <t>Байдаківський ФП</t>
  </si>
  <si>
    <t>с. Байдаківка, вул. Центральна, 42А</t>
  </si>
  <si>
    <t>Миколаївський ФП</t>
  </si>
  <si>
    <t>с. Миколаївка, вул. Українська, 1а</t>
  </si>
  <si>
    <t>Миролюбівський ФП</t>
  </si>
  <si>
    <t>Райдужний ФП</t>
  </si>
  <si>
    <t>с. Райдужне. Вул. Центральна, 2</t>
  </si>
  <si>
    <t>Виноградівський ФП</t>
  </si>
  <si>
    <t>Лозоватський ФП</t>
  </si>
  <si>
    <t>с. Лозуватка, вул. Центральна, 81</t>
  </si>
  <si>
    <t>Біленщанський ФП</t>
  </si>
  <si>
    <t>с. Біленщина, вул. Жалдака, 24а</t>
  </si>
  <si>
    <t>Жовто - Олександрівський ФП</t>
  </si>
  <si>
    <t>Івашинівський ФП</t>
  </si>
  <si>
    <t>Транспортні засоби ВСЬОГО</t>
  </si>
  <si>
    <t>ЗІЛ 5301 Бичок - 1, П'ятихатський ЦПМСД</t>
  </si>
  <si>
    <t>ТОЙОТА Хай-Ейс, П'ятихатський ЦПМСД</t>
  </si>
  <si>
    <t>ВАЗ 212140, П'ятихатська АЗПСМ</t>
  </si>
  <si>
    <t>Peugeot Rifter ,П'ятихатська АЗПСМ</t>
  </si>
  <si>
    <t>DACIA DUSTER ,П'ятихатська АЗПСМ</t>
  </si>
  <si>
    <t>ВАЗ 212140, Жовтянська АЗПСМ</t>
  </si>
  <si>
    <t>ЗАЗ 110207 Таврія-Нова, Ерастівська АЗПСМ</t>
  </si>
  <si>
    <t>ВАЗ 212140, Саксаганська АЗПСМ</t>
  </si>
  <si>
    <t>Опель Комбо, Лихівська АЗПСМ</t>
  </si>
  <si>
    <t>VOLKSWAGEN, LT 35</t>
  </si>
  <si>
    <t>Переданий Третьому відділу Кам'янського РВК А0943 03.03.2022р.</t>
  </si>
  <si>
    <t>ВАЗ 212140</t>
  </si>
  <si>
    <t>Переданий Третьому відділу м. П'ятихатки Кам'янського РТЦК та СП 03.03.2022р.</t>
  </si>
  <si>
    <t>Опель Комбо, Нерудстальська АЗПСМ</t>
  </si>
  <si>
    <t>ЗАЗ Сенс, Вишнівська АЗПСМ</t>
  </si>
  <si>
    <t>Електровелосипед, Вільнівська АЗПСМ</t>
  </si>
  <si>
    <t>Електровелосипед, Виноградівський ФП</t>
  </si>
  <si>
    <t>Електровелосипед, Біленщанський ФП</t>
  </si>
  <si>
    <t>Електровелосипед</t>
  </si>
  <si>
    <t>Інструменти, прилади, інвентар ВСЬОГО</t>
  </si>
  <si>
    <t>м. П'ятихатки, вул. Прокопенко, 13</t>
  </si>
  <si>
    <t>с. Троїцьке, вул. Центральна, 43</t>
  </si>
  <si>
    <t>с. Богдано - Надеждывка, вул. Сонячна, 1</t>
  </si>
  <si>
    <t>с. Райдужне. Вул. Центральна, 18а</t>
  </si>
  <si>
    <t xml:space="preserve"> (посада)</t>
  </si>
  <si>
    <t>VOLKSWAGEN, LT 35 (АЕ 1241 ВТ)</t>
  </si>
  <si>
    <t>Меддопомога</t>
  </si>
  <si>
    <t>Тойота Хай-Ейс (АЕ 1693 НС)</t>
  </si>
  <si>
    <t>ЗАЗ Сенс (АЕ 0992 ІВ)</t>
  </si>
  <si>
    <t>Опель Комбо (АЕ 1694 НС)</t>
  </si>
  <si>
    <t>Опель Комбо (АЕ 1695 НС)</t>
  </si>
  <si>
    <t>Peugeot Rifter (АЕ 8953 РВ)</t>
  </si>
  <si>
    <t>ЗАЗ 110207 Таврія (АЕ 1697 НС)</t>
  </si>
  <si>
    <t>ВАЗ 212140  (АЕ 1651 НС)</t>
  </si>
  <si>
    <t>ВАЗ 212140  (АЕ 1649 НС)</t>
  </si>
  <si>
    <t>ВАЗ 212140  (АЕ 1650 НС)</t>
  </si>
  <si>
    <t>ВАЗ 212140  (АЕ 1652 НС)</t>
  </si>
  <si>
    <t>ВАЗ 212140  (АЕ 1653 НС)</t>
  </si>
  <si>
    <t>ЗІЛ 5301 Бичок (АЕ 2268 ЕХ)</t>
  </si>
  <si>
    <t xml:space="preserve">DACIA DUSTER </t>
  </si>
  <si>
    <t xml:space="preserve"> </t>
  </si>
  <si>
    <t xml:space="preserve">на придбання предметів та обладнання довгострокового користування </t>
  </si>
  <si>
    <t>відшкодування за харчування війсковослужбовців</t>
  </si>
  <si>
    <t>Додаток</t>
  </si>
  <si>
    <t>Залишок коштів, отриманий як надходження від проведення медичних оглядів, зубопротезування, лікування застрахованих осіб, стоматологічні послуги</t>
  </si>
  <si>
    <t>ВСЬОГО:</t>
  </si>
  <si>
    <t>Віталій ІЛЮЩЕНКО</t>
  </si>
  <si>
    <t xml:space="preserve"> П'ятихатська ЦРЛ (відділення)</t>
  </si>
  <si>
    <t>IVEKO (DAILY72c15)мобільна медична клініка, П'ятихатська АЗПСМ</t>
  </si>
  <si>
    <t>Факт 2024 року</t>
  </si>
  <si>
    <t>Уточнений фінансовий план 2025 року</t>
  </si>
  <si>
    <r>
      <t xml:space="preserve">ФІНАНСОВИЙ ПЛАН ПІДПРИЄМСТВА НА </t>
    </r>
    <r>
      <rPr>
        <b/>
        <u/>
        <sz val="10"/>
        <rFont val="Times New Roman"/>
        <family val="1"/>
        <charset val="204"/>
      </rPr>
      <t xml:space="preserve">2026 </t>
    </r>
    <r>
      <rPr>
        <b/>
        <sz val="10"/>
        <rFont val="Times New Roman"/>
        <family val="1"/>
        <charset val="204"/>
      </rPr>
      <t>рік</t>
    </r>
  </si>
  <si>
    <t>Додаток до Фінансового плану на __2026______ рік</t>
  </si>
  <si>
    <t>Додаток до Фінансового плану на 2026_______ рік</t>
  </si>
  <si>
    <t>Додаток до Фінансового плану на ___2026____ рік</t>
  </si>
  <si>
    <t>Додаток до Фінансового плану на __2026_____ рік</t>
  </si>
  <si>
    <t>Додаток 1.5. до Фінансового плану на 2026 рік</t>
  </si>
  <si>
    <t>Додаток до Фінансового плану на 2026 рік</t>
  </si>
  <si>
    <t>на 2026___ рік</t>
  </si>
  <si>
    <t>Балансова вартість (тис.грн.) на 01.01.2026 р.</t>
  </si>
  <si>
    <t>Залишкова вартість (тис.грн.) на 01.01.2026р.</t>
  </si>
  <si>
    <t>Витрати на оплату праці (тис.грн.), усього, в тому числі:</t>
  </si>
  <si>
    <t xml:space="preserve">Середньомісячні витрати на оплату праці
одного працівника (тис. грн), усього, у тому числі:
</t>
  </si>
  <si>
    <t>КНП " Пятихатська центральна міська лікарня" П'ятихатської міської ради</t>
  </si>
  <si>
    <t>Секретар міської ради                                           Вікторія НАЗАРЕНКО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</si>
</sst>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₴_-;\-* #,##0.00\ _₴_-;_-* &quot;-&quot;??\ _₴_-;_-@_-"/>
    <numFmt numFmtId="165" formatCode="#,##0.0"/>
    <numFmt numFmtId="166" formatCode="_(* #,##0.0_);_(* \(#,##0.0\);_(* &quot;-&quot;??_);_(@_)"/>
    <numFmt numFmtId="167" formatCode="0.000"/>
    <numFmt numFmtId="168" formatCode="0000"/>
    <numFmt numFmtId="169" formatCode="0000.000"/>
    <numFmt numFmtId="170" formatCode="_(* #,##0.000_);_(* \(#,##0.000\);_(* \-_);_(@_)"/>
    <numFmt numFmtId="171" formatCode="_(* #,##0.0_);_(* \(#,##0.0\);_(* \-_);_(@_)"/>
    <numFmt numFmtId="172" formatCode="_-* #,##0.000\ _₴_-;\-* #,##0.000\ _₴_-;_-* &quot;-&quot;???\ _₴_-;_-@_-"/>
    <numFmt numFmtId="173" formatCode="0.0"/>
    <numFmt numFmtId="174" formatCode="0.0000"/>
    <numFmt numFmtId="175" formatCode="#,##0.000"/>
    <numFmt numFmtId="176" formatCode="_-* #,##0.000\ _₴_-;\-* #,##0.000\ _₴_-;_-* &quot;-&quot;??\ _₴_-;_-@_-"/>
    <numFmt numFmtId="177" formatCode="#,##0.000_ ;\-#,##0.000\ "/>
    <numFmt numFmtId="178" formatCode="_-* #,##0.000\ _₽_-;\-* #,##0.000\ _₽_-;_-* &quot;-&quot;???\ _₽_-;_-@_-"/>
  </numFmts>
  <fonts count="5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99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9" fillId="0" borderId="0"/>
    <xf numFmtId="0" fontId="20" fillId="0" borderId="0"/>
    <xf numFmtId="0" fontId="37" fillId="0" borderId="0"/>
    <xf numFmtId="164" fontId="20" fillId="0" borderId="0" applyFont="0" applyFill="0" applyBorder="0" applyAlignment="0" applyProtection="0"/>
    <xf numFmtId="0" fontId="20" fillId="0" borderId="0"/>
  </cellStyleXfs>
  <cellXfs count="4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3" fillId="2" borderId="0" xfId="0" applyNumberFormat="1" applyFont="1" applyFill="1" applyAlignment="1">
      <alignment vertical="center" wrapText="1"/>
    </xf>
    <xf numFmtId="166" fontId="3" fillId="0" borderId="0" xfId="0" applyNumberFormat="1" applyFont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2" fontId="13" fillId="0" borderId="1" xfId="0" applyNumberFormat="1" applyFont="1" applyBorder="1" applyAlignment="1">
      <alignment horizontal="left" vertical="center" wrapText="1"/>
    </xf>
    <xf numFmtId="167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left" vertical="center" wrapText="1"/>
    </xf>
    <xf numFmtId="167" fontId="15" fillId="0" borderId="1" xfId="0" applyNumberFormat="1" applyFont="1" applyBorder="1" applyAlignment="1">
      <alignment horizontal="center" vertical="center" wrapText="1"/>
    </xf>
    <xf numFmtId="167" fontId="1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1" fontId="0" fillId="0" borderId="0" xfId="0" applyNumberFormat="1"/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 shrinkToFit="1"/>
    </xf>
    <xf numFmtId="0" fontId="6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168" fontId="3" fillId="0" borderId="1" xfId="0" applyNumberFormat="1" applyFont="1" applyBorder="1" applyAlignment="1">
      <alignment horizontal="center" vertical="center" wrapText="1"/>
    </xf>
    <xf numFmtId="169" fontId="3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68" fontId="5" fillId="0" borderId="1" xfId="0" applyNumberFormat="1" applyFont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170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1" fontId="3" fillId="0" borderId="1" xfId="0" applyNumberFormat="1" applyFont="1" applyBorder="1" applyAlignment="1">
      <alignment horizontal="center" vertical="center" wrapText="1"/>
    </xf>
    <xf numFmtId="17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70" fontId="3" fillId="2" borderId="1" xfId="0" applyNumberFormat="1" applyFont="1" applyFill="1" applyBorder="1" applyAlignment="1">
      <alignment vertical="center" wrapText="1"/>
    </xf>
    <xf numFmtId="172" fontId="1" fillId="0" borderId="0" xfId="0" applyNumberFormat="1" applyFont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171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67" fontId="3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 wrapText="1"/>
    </xf>
    <xf numFmtId="171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6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167" fontId="0" fillId="0" borderId="0" xfId="0" applyNumberFormat="1"/>
    <xf numFmtId="0" fontId="4" fillId="2" borderId="1" xfId="0" applyFont="1" applyFill="1" applyBorder="1" applyAlignment="1">
      <alignment horizontal="center" vertical="center" wrapText="1" shrinkToFit="1"/>
    </xf>
    <xf numFmtId="167" fontId="22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67" fontId="2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67" fontId="6" fillId="2" borderId="1" xfId="0" applyNumberFormat="1" applyFont="1" applyFill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1" fontId="6" fillId="2" borderId="1" xfId="0" applyNumberFormat="1" applyFont="1" applyFill="1" applyBorder="1" applyAlignment="1">
      <alignment horizontal="center" wrapText="1"/>
    </xf>
    <xf numFmtId="167" fontId="6" fillId="2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left" vertical="center" wrapText="1"/>
    </xf>
    <xf numFmtId="167" fontId="6" fillId="2" borderId="1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2" fillId="2" borderId="1" xfId="0" applyFont="1" applyFill="1" applyBorder="1" applyAlignment="1">
      <alignment horizontal="center" wrapText="1"/>
    </xf>
    <xf numFmtId="174" fontId="0" fillId="0" borderId="0" xfId="0" applyNumberFormat="1"/>
    <xf numFmtId="1" fontId="0" fillId="0" borderId="1" xfId="0" applyNumberFormat="1" applyBorder="1" applyAlignment="1">
      <alignment wrapText="1"/>
    </xf>
    <xf numFmtId="167" fontId="0" fillId="0" borderId="1" xfId="0" applyNumberFormat="1" applyBorder="1" applyAlignment="1">
      <alignment wrapText="1"/>
    </xf>
    <xf numFmtId="167" fontId="0" fillId="2" borderId="1" xfId="0" applyNumberFormat="1" applyFill="1" applyBorder="1" applyAlignment="1">
      <alignment wrapText="1"/>
    </xf>
    <xf numFmtId="0" fontId="2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 shrinkToFit="1"/>
    </xf>
    <xf numFmtId="0" fontId="5" fillId="4" borderId="1" xfId="0" applyFont="1" applyFill="1" applyBorder="1" applyAlignment="1">
      <alignment horizontal="left" wrapText="1"/>
    </xf>
    <xf numFmtId="49" fontId="0" fillId="0" borderId="0" xfId="0" applyNumberFormat="1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24" fillId="0" borderId="0" xfId="0" applyFont="1" applyAlignment="1">
      <alignment wrapText="1"/>
    </xf>
    <xf numFmtId="1" fontId="24" fillId="0" borderId="0" xfId="0" applyNumberFormat="1" applyFont="1" applyAlignment="1">
      <alignment wrapText="1"/>
    </xf>
    <xf numFmtId="0" fontId="24" fillId="2" borderId="0" xfId="0" applyFont="1" applyFill="1" applyAlignment="1">
      <alignment wrapText="1"/>
    </xf>
    <xf numFmtId="0" fontId="6" fillId="0" borderId="0" xfId="0" applyFont="1" applyAlignment="1">
      <alignment horizontal="center" wrapText="1"/>
    </xf>
    <xf numFmtId="165" fontId="5" fillId="0" borderId="0" xfId="0" applyNumberFormat="1" applyFont="1" applyAlignment="1">
      <alignment vertical="center"/>
    </xf>
    <xf numFmtId="1" fontId="0" fillId="0" borderId="0" xfId="0" applyNumberForma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1" fontId="22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67" fontId="1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8" fillId="4" borderId="0" xfId="2" applyFont="1" applyFill="1"/>
    <xf numFmtId="0" fontId="28" fillId="4" borderId="0" xfId="2" applyFont="1" applyFill="1" applyAlignment="1">
      <alignment horizontal="center"/>
    </xf>
    <xf numFmtId="0" fontId="29" fillId="0" borderId="0" xfId="2" applyFont="1" applyAlignment="1">
      <alignment horizontal="center"/>
    </xf>
    <xf numFmtId="0" fontId="4" fillId="4" borderId="0" xfId="2" applyFont="1" applyFill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30" fillId="4" borderId="5" xfId="0" applyFont="1" applyFill="1" applyBorder="1" applyAlignment="1" applyProtection="1">
      <alignment horizontal="left" vertical="center" wrapText="1"/>
      <protection locked="0"/>
    </xf>
    <xf numFmtId="168" fontId="30" fillId="0" borderId="5" xfId="0" applyNumberFormat="1" applyFont="1" applyBorder="1" applyAlignment="1">
      <alignment horizontal="center" vertical="center" wrapText="1"/>
    </xf>
    <xf numFmtId="175" fontId="30" fillId="4" borderId="5" xfId="0" applyNumberFormat="1" applyFont="1" applyFill="1" applyBorder="1" applyAlignment="1">
      <alignment horizontal="center" vertical="center" wrapText="1"/>
    </xf>
    <xf numFmtId="175" fontId="30" fillId="0" borderId="5" xfId="0" applyNumberFormat="1" applyFont="1" applyBorder="1" applyAlignment="1">
      <alignment horizontal="center" vertical="center" wrapText="1"/>
    </xf>
    <xf numFmtId="165" fontId="30" fillId="0" borderId="10" xfId="0" applyNumberFormat="1" applyFont="1" applyBorder="1" applyAlignment="1">
      <alignment horizontal="center" vertical="center" wrapText="1"/>
    </xf>
    <xf numFmtId="165" fontId="30" fillId="0" borderId="5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168" fontId="31" fillId="0" borderId="1" xfId="0" applyNumberFormat="1" applyFont="1" applyBorder="1" applyAlignment="1">
      <alignment horizontal="center" vertical="center" wrapText="1"/>
    </xf>
    <xf numFmtId="175" fontId="4" fillId="4" borderId="1" xfId="0" applyNumberFormat="1" applyFont="1" applyFill="1" applyBorder="1" applyAlignment="1">
      <alignment horizontal="center" vertical="center" wrapText="1"/>
    </xf>
    <xf numFmtId="175" fontId="30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75" fontId="4" fillId="0" borderId="11" xfId="0" applyNumberFormat="1" applyFont="1" applyBorder="1" applyAlignment="1">
      <alignment horizontal="center" vertical="center" wrapText="1"/>
    </xf>
    <xf numFmtId="165" fontId="30" fillId="0" borderId="1" xfId="0" applyNumberFormat="1" applyFont="1" applyBorder="1" applyAlignment="1">
      <alignment horizontal="center" vertical="center" wrapText="1"/>
    </xf>
    <xf numFmtId="175" fontId="30" fillId="4" borderId="7" xfId="0" applyNumberFormat="1" applyFont="1" applyFill="1" applyBorder="1" applyAlignment="1">
      <alignment horizontal="center" vertical="center" wrapText="1"/>
    </xf>
    <xf numFmtId="175" fontId="30" fillId="0" borderId="7" xfId="0" applyNumberFormat="1" applyFont="1" applyBorder="1" applyAlignment="1">
      <alignment horizontal="center" vertical="center" wrapText="1"/>
    </xf>
    <xf numFmtId="165" fontId="30" fillId="0" borderId="11" xfId="0" applyNumberFormat="1" applyFont="1" applyBorder="1" applyAlignment="1">
      <alignment horizontal="center" vertical="center" wrapText="1"/>
    </xf>
    <xf numFmtId="165" fontId="30" fillId="0" borderId="7" xfId="0" applyNumberFormat="1" applyFont="1" applyBorder="1" applyAlignment="1">
      <alignment horizontal="center" vertical="center" wrapText="1"/>
    </xf>
    <xf numFmtId="175" fontId="30" fillId="4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5" fontId="4" fillId="0" borderId="1" xfId="0" applyNumberFormat="1" applyFont="1" applyBorder="1" applyAlignment="1">
      <alignment horizontal="center" vertical="center" wrapText="1"/>
    </xf>
    <xf numFmtId="175" fontId="4" fillId="0" borderId="1" xfId="0" applyNumberFormat="1" applyFont="1" applyBorder="1" applyAlignment="1">
      <alignment horizontal="center"/>
    </xf>
    <xf numFmtId="175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 wrapText="1"/>
    </xf>
    <xf numFmtId="175" fontId="4" fillId="0" borderId="7" xfId="0" applyNumberFormat="1" applyFont="1" applyBorder="1" applyAlignment="1">
      <alignment horizontal="center" vertical="center" wrapText="1"/>
    </xf>
    <xf numFmtId="175" fontId="4" fillId="0" borderId="7" xfId="0" applyNumberFormat="1" applyFont="1" applyBorder="1" applyAlignment="1">
      <alignment horizontal="center"/>
    </xf>
    <xf numFmtId="0" fontId="31" fillId="4" borderId="1" xfId="0" applyFont="1" applyFill="1" applyBorder="1" applyAlignment="1">
      <alignment horizontal="right" vertical="center" wrapText="1"/>
    </xf>
    <xf numFmtId="175" fontId="4" fillId="0" borderId="5" xfId="0" applyNumberFormat="1" applyFont="1" applyBorder="1" applyAlignment="1">
      <alignment horizontal="center" vertical="center" wrapText="1"/>
    </xf>
    <xf numFmtId="175" fontId="4" fillId="0" borderId="10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 indent="1"/>
    </xf>
    <xf numFmtId="0" fontId="32" fillId="4" borderId="1" xfId="0" applyFont="1" applyFill="1" applyBorder="1" applyAlignment="1">
      <alignment horizontal="left" vertical="center" wrapText="1" indent="1"/>
    </xf>
    <xf numFmtId="0" fontId="32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wrapText="1"/>
    </xf>
    <xf numFmtId="175" fontId="30" fillId="0" borderId="12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175" fontId="30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wrapText="1"/>
    </xf>
    <xf numFmtId="0" fontId="34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35" fillId="0" borderId="1" xfId="0" applyFont="1" applyBorder="1"/>
    <xf numFmtId="0" fontId="32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 vertical="center" wrapText="1"/>
    </xf>
    <xf numFmtId="0" fontId="31" fillId="4" borderId="7" xfId="0" applyFont="1" applyFill="1" applyBorder="1" applyAlignment="1">
      <alignment horizontal="right" vertical="center" wrapText="1"/>
    </xf>
    <xf numFmtId="0" fontId="32" fillId="0" borderId="7" xfId="0" applyFont="1" applyBorder="1" applyAlignment="1">
      <alignment horizontal="center" wrapText="1"/>
    </xf>
    <xf numFmtId="0" fontId="31" fillId="0" borderId="1" xfId="0" applyFont="1" applyBorder="1" applyAlignment="1">
      <alignment horizontal="left" vertical="center" wrapText="1" indent="1"/>
    </xf>
    <xf numFmtId="0" fontId="30" fillId="7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left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22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22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167" fontId="7" fillId="2" borderId="1" xfId="0" applyNumberFormat="1" applyFont="1" applyFill="1" applyBorder="1" applyAlignment="1">
      <alignment horizontal="center" wrapText="1"/>
    </xf>
    <xf numFmtId="173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wrapText="1"/>
    </xf>
    <xf numFmtId="167" fontId="1" fillId="2" borderId="1" xfId="0" applyNumberFormat="1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22" fillId="8" borderId="1" xfId="0" applyFont="1" applyFill="1" applyBorder="1" applyAlignment="1">
      <alignment wrapText="1"/>
    </xf>
    <xf numFmtId="0" fontId="22" fillId="8" borderId="1" xfId="0" applyFont="1" applyFill="1" applyBorder="1" applyAlignment="1">
      <alignment horizontal="center" wrapText="1"/>
    </xf>
    <xf numFmtId="167" fontId="22" fillId="8" borderId="1" xfId="0" applyNumberFormat="1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34" fillId="8" borderId="1" xfId="0" applyFont="1" applyFill="1" applyBorder="1" applyAlignment="1">
      <alignment wrapText="1"/>
    </xf>
    <xf numFmtId="0" fontId="34" fillId="8" borderId="1" xfId="0" applyFont="1" applyFill="1" applyBorder="1" applyAlignment="1">
      <alignment horizontal="center" wrapText="1"/>
    </xf>
    <xf numFmtId="0" fontId="30" fillId="8" borderId="1" xfId="0" applyFont="1" applyFill="1" applyBorder="1" applyAlignment="1">
      <alignment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/>
    </xf>
    <xf numFmtId="175" fontId="4" fillId="3" borderId="1" xfId="0" applyNumberFormat="1" applyFont="1" applyFill="1" applyBorder="1" applyAlignment="1">
      <alignment horizontal="center" vertical="center" wrapText="1"/>
    </xf>
    <xf numFmtId="175" fontId="30" fillId="3" borderId="1" xfId="0" applyNumberFormat="1" applyFont="1" applyFill="1" applyBorder="1" applyAlignment="1">
      <alignment horizontal="center" vertical="center" wrapText="1"/>
    </xf>
    <xf numFmtId="165" fontId="30" fillId="3" borderId="2" xfId="0" applyNumberFormat="1" applyFont="1" applyFill="1" applyBorder="1" applyAlignment="1">
      <alignment horizontal="center" vertical="center" wrapText="1"/>
    </xf>
    <xf numFmtId="175" fontId="4" fillId="3" borderId="1" xfId="0" applyNumberFormat="1" applyFont="1" applyFill="1" applyBorder="1" applyAlignment="1">
      <alignment horizontal="center" vertical="center"/>
    </xf>
    <xf numFmtId="165" fontId="30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67" fontId="6" fillId="2" borderId="1" xfId="0" applyNumberFormat="1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70" fontId="38" fillId="9" borderId="14" xfId="3" applyNumberFormat="1" applyFont="1" applyFill="1" applyBorder="1" applyAlignment="1">
      <alignment wrapText="1"/>
    </xf>
    <xf numFmtId="170" fontId="1" fillId="5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0" fontId="37" fillId="0" borderId="0" xfId="3"/>
    <xf numFmtId="2" fontId="41" fillId="0" borderId="16" xfId="3" applyNumberFormat="1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43" fillId="0" borderId="0" xfId="3" applyFont="1" applyAlignment="1">
      <alignment horizontal="center" vertical="center" wrapText="1"/>
    </xf>
    <xf numFmtId="175" fontId="3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wrapText="1"/>
    </xf>
    <xf numFmtId="1" fontId="0" fillId="0" borderId="17" xfId="0" applyNumberFormat="1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167" fontId="3" fillId="2" borderId="1" xfId="0" applyNumberFormat="1" applyFont="1" applyFill="1" applyBorder="1" applyAlignment="1">
      <alignment horizontal="center"/>
    </xf>
    <xf numFmtId="176" fontId="6" fillId="2" borderId="1" xfId="4" applyNumberFormat="1" applyFont="1" applyFill="1" applyBorder="1" applyAlignment="1">
      <alignment horizontal="center" wrapText="1"/>
    </xf>
    <xf numFmtId="167" fontId="7" fillId="2" borderId="9" xfId="0" applyNumberFormat="1" applyFont="1" applyFill="1" applyBorder="1" applyAlignment="1">
      <alignment horizontal="center" wrapText="1"/>
    </xf>
    <xf numFmtId="167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172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0" xfId="0" applyNumberFormat="1" applyFont="1" applyFill="1" applyAlignment="1">
      <alignment horizontal="center" vertical="center" wrapText="1" shrinkToFit="1"/>
    </xf>
    <xf numFmtId="49" fontId="0" fillId="2" borderId="0" xfId="0" applyNumberFormat="1" applyFill="1"/>
    <xf numFmtId="2" fontId="44" fillId="0" borderId="1" xfId="0" applyNumberFormat="1" applyFont="1" applyBorder="1" applyAlignment="1">
      <alignment horizontal="center" vertical="center" wrapText="1"/>
    </xf>
    <xf numFmtId="167" fontId="44" fillId="0" borderId="1" xfId="0" applyNumberFormat="1" applyFont="1" applyBorder="1" applyAlignment="1">
      <alignment horizontal="center" vertical="center" wrapText="1"/>
    </xf>
    <xf numFmtId="2" fontId="45" fillId="0" borderId="1" xfId="0" applyNumberFormat="1" applyFont="1" applyBorder="1" applyAlignment="1">
      <alignment horizontal="center" vertical="center" wrapText="1"/>
    </xf>
    <xf numFmtId="167" fontId="45" fillId="0" borderId="1" xfId="0" applyNumberFormat="1" applyFont="1" applyBorder="1" applyAlignment="1">
      <alignment horizontal="center" vertical="center" wrapText="1"/>
    </xf>
    <xf numFmtId="167" fontId="44" fillId="2" borderId="1" xfId="0" applyNumberFormat="1" applyFont="1" applyFill="1" applyBorder="1" applyAlignment="1">
      <alignment horizontal="center" vertical="center" wrapText="1"/>
    </xf>
    <xf numFmtId="2" fontId="45" fillId="2" borderId="1" xfId="0" applyNumberFormat="1" applyFont="1" applyFill="1" applyBorder="1" applyAlignment="1">
      <alignment horizontal="left" vertical="center" wrapText="1"/>
    </xf>
    <xf numFmtId="2" fontId="45" fillId="6" borderId="1" xfId="0" applyNumberFormat="1" applyFont="1" applyFill="1" applyBorder="1" applyAlignment="1">
      <alignment horizontal="center" vertical="center" wrapText="1"/>
    </xf>
    <xf numFmtId="2" fontId="45" fillId="2" borderId="1" xfId="0" applyNumberFormat="1" applyFont="1" applyFill="1" applyBorder="1" applyAlignment="1">
      <alignment horizontal="center" vertical="center" wrapText="1"/>
    </xf>
    <xf numFmtId="167" fontId="45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65" fontId="1" fillId="0" borderId="8" xfId="0" applyNumberFormat="1" applyFont="1" applyBorder="1" applyAlignment="1">
      <alignment horizontal="center" wrapText="1"/>
    </xf>
    <xf numFmtId="0" fontId="1" fillId="0" borderId="0" xfId="0" applyFont="1"/>
    <xf numFmtId="0" fontId="1" fillId="0" borderId="18" xfId="0" applyFont="1" applyBorder="1" applyAlignment="1">
      <alignment vertical="center"/>
    </xf>
    <xf numFmtId="0" fontId="47" fillId="0" borderId="21" xfId="5" applyFont="1" applyBorder="1" applyAlignment="1">
      <alignment horizontal="center" vertical="center" wrapText="1"/>
    </xf>
    <xf numFmtId="0" fontId="46" fillId="2" borderId="22" xfId="5" applyFont="1" applyFill="1" applyBorder="1" applyAlignment="1">
      <alignment horizontal="center" vertical="center" wrapText="1"/>
    </xf>
    <xf numFmtId="0" fontId="46" fillId="0" borderId="22" xfId="5" applyFont="1" applyBorder="1" applyAlignment="1">
      <alignment horizontal="center" vertical="center" wrapText="1"/>
    </xf>
    <xf numFmtId="0" fontId="6" fillId="5" borderId="0" xfId="0" applyFont="1" applyFill="1"/>
    <xf numFmtId="0" fontId="6" fillId="2" borderId="0" xfId="0" applyFont="1" applyFill="1" applyAlignment="1">
      <alignment horizontal="left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71" fontId="1" fillId="5" borderId="1" xfId="0" applyNumberFormat="1" applyFont="1" applyFill="1" applyBorder="1" applyAlignment="1">
      <alignment horizontal="center" vertical="center" wrapText="1"/>
    </xf>
    <xf numFmtId="171" fontId="1" fillId="2" borderId="1" xfId="0" applyNumberFormat="1" applyFont="1" applyFill="1" applyBorder="1" applyAlignment="1">
      <alignment horizontal="center" vertical="center" wrapText="1"/>
    </xf>
    <xf numFmtId="177" fontId="1" fillId="4" borderId="1" xfId="4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2" borderId="0" xfId="0" applyFont="1" applyFill="1"/>
    <xf numFmtId="167" fontId="3" fillId="0" borderId="0" xfId="0" applyNumberFormat="1" applyFont="1" applyAlignment="1">
      <alignment vertical="center" wrapText="1"/>
    </xf>
    <xf numFmtId="167" fontId="1" fillId="0" borderId="0" xfId="0" applyNumberFormat="1" applyFont="1" applyAlignment="1">
      <alignment vertical="center" wrapText="1"/>
    </xf>
    <xf numFmtId="2" fontId="42" fillId="2" borderId="16" xfId="3" applyNumberFormat="1" applyFont="1" applyFill="1" applyBorder="1" applyAlignment="1">
      <alignment horizontal="center" vertical="center" wrapText="1"/>
    </xf>
    <xf numFmtId="167" fontId="42" fillId="2" borderId="16" xfId="3" applyNumberFormat="1" applyFont="1" applyFill="1" applyBorder="1" applyAlignment="1">
      <alignment horizontal="center" vertical="center" wrapText="1"/>
    </xf>
    <xf numFmtId="2" fontId="41" fillId="2" borderId="16" xfId="3" applyNumberFormat="1" applyFont="1" applyFill="1" applyBorder="1" applyAlignment="1">
      <alignment horizontal="center" vertical="center" wrapText="1"/>
    </xf>
    <xf numFmtId="167" fontId="41" fillId="2" borderId="16" xfId="3" applyNumberFormat="1" applyFont="1" applyFill="1" applyBorder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175" fontId="1" fillId="0" borderId="0" xfId="0" applyNumberFormat="1" applyFont="1" applyAlignment="1">
      <alignment vertical="center" wrapText="1"/>
    </xf>
    <xf numFmtId="175" fontId="0" fillId="0" borderId="0" xfId="0" applyNumberFormat="1"/>
    <xf numFmtId="167" fontId="6" fillId="2" borderId="2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167" fontId="6" fillId="11" borderId="1" xfId="0" applyNumberFormat="1" applyFont="1" applyFill="1" applyBorder="1" applyAlignment="1">
      <alignment horizontal="center" wrapText="1"/>
    </xf>
    <xf numFmtId="167" fontId="22" fillId="11" borderId="1" xfId="0" applyNumberFormat="1" applyFont="1" applyFill="1" applyBorder="1" applyAlignment="1">
      <alignment horizontal="center" wrapText="1"/>
    </xf>
    <xf numFmtId="167" fontId="22" fillId="3" borderId="1" xfId="0" applyNumberFormat="1" applyFont="1" applyFill="1" applyBorder="1" applyAlignment="1">
      <alignment horizontal="center" wrapText="1"/>
    </xf>
    <xf numFmtId="167" fontId="3" fillId="11" borderId="1" xfId="0" applyNumberFormat="1" applyFont="1" applyFill="1" applyBorder="1" applyAlignment="1">
      <alignment horizontal="center" wrapText="1"/>
    </xf>
    <xf numFmtId="167" fontId="1" fillId="11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12" borderId="1" xfId="0" applyFont="1" applyFill="1" applyBorder="1" applyAlignment="1">
      <alignment horizontal="left" vertical="center" wrapText="1"/>
    </xf>
    <xf numFmtId="167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165" fontId="1" fillId="0" borderId="0" xfId="3" applyNumberFormat="1" applyFont="1" applyAlignment="1">
      <alignment horizontal="left" vertical="center" wrapText="1"/>
    </xf>
    <xf numFmtId="0" fontId="1" fillId="0" borderId="0" xfId="3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justify" vertical="center" wrapText="1" shrinkToFit="1"/>
    </xf>
    <xf numFmtId="2" fontId="1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8" xfId="0" applyFont="1" applyBorder="1" applyAlignment="1">
      <alignment horizontal="center"/>
    </xf>
    <xf numFmtId="0" fontId="38" fillId="0" borderId="0" xfId="3" applyFont="1" applyAlignment="1">
      <alignment horizontal="right"/>
    </xf>
    <xf numFmtId="0" fontId="38" fillId="10" borderId="0" xfId="3" applyFont="1" applyFill="1" applyAlignment="1">
      <alignment horizontal="right"/>
    </xf>
    <xf numFmtId="0" fontId="39" fillId="0" borderId="0" xfId="3" applyFont="1" applyAlignment="1">
      <alignment horizontal="center"/>
    </xf>
    <xf numFmtId="0" fontId="40" fillId="0" borderId="15" xfId="3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47" fillId="0" borderId="19" xfId="5" applyFont="1" applyBorder="1" applyAlignment="1">
      <alignment horizontal="center" vertical="center" wrapText="1"/>
    </xf>
    <xf numFmtId="0" fontId="47" fillId="0" borderId="20" xfId="5" applyFont="1" applyBorder="1" applyAlignment="1">
      <alignment horizontal="center" vertical="center" wrapText="1"/>
    </xf>
    <xf numFmtId="0" fontId="47" fillId="0" borderId="21" xfId="5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27" fillId="0" borderId="8" xfId="2" applyFont="1" applyBorder="1" applyAlignment="1" applyProtection="1">
      <alignment horizontal="center" vertical="center" wrapText="1"/>
      <protection locked="0"/>
    </xf>
    <xf numFmtId="0" fontId="27" fillId="4" borderId="0" xfId="2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0" fontId="30" fillId="4" borderId="9" xfId="2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</cellXfs>
  <cellStyles count="6">
    <cellStyle name="Excel Built-in Normal" xfId="3" xr:uid="{00000000-0005-0000-0000-000000000000}"/>
    <cellStyle name="Звичайний" xfId="0" builtinId="0"/>
    <cellStyle name="Звичайний 2 2" xfId="2" xr:uid="{00000000-0005-0000-0000-000001000000}"/>
    <cellStyle name="Обычный 2" xfId="1" xr:uid="{00000000-0005-0000-0000-000003000000}"/>
    <cellStyle name="Обычный 3" xfId="5" xr:uid="{00000000-0005-0000-0000-000004000000}"/>
    <cellStyle name="Фінансови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315"/>
  <sheetViews>
    <sheetView tabSelected="1" view="pageBreakPreview" zoomScaleNormal="100" zoomScaleSheetLayoutView="100" workbookViewId="0">
      <selection activeCell="H7" sqref="H7:J7"/>
    </sheetView>
  </sheetViews>
  <sheetFormatPr defaultRowHeight="15" x14ac:dyDescent="0.25"/>
  <cols>
    <col min="1" max="1" width="33.5703125" customWidth="1"/>
    <col min="2" max="2" width="8.5703125" customWidth="1"/>
    <col min="3" max="3" width="11.85546875" style="50" customWidth="1"/>
    <col min="4" max="4" width="12.42578125" customWidth="1"/>
    <col min="5" max="5" width="12.5703125" style="39" customWidth="1"/>
    <col min="6" max="6" width="11.85546875" customWidth="1"/>
    <col min="7" max="7" width="10.85546875" customWidth="1"/>
    <col min="8" max="8" width="13" style="39" customWidth="1"/>
    <col min="9" max="9" width="10.5703125" customWidth="1"/>
    <col min="10" max="10" width="36.5703125" customWidth="1"/>
    <col min="11" max="11" width="14.28515625" customWidth="1"/>
    <col min="12" max="12" width="12.28515625" customWidth="1"/>
    <col min="13" max="13" width="11.28515625" customWidth="1"/>
    <col min="14" max="14" width="11.42578125" customWidth="1"/>
    <col min="15" max="15" width="12.85546875" customWidth="1"/>
    <col min="16" max="19" width="8.5703125" customWidth="1"/>
    <col min="20" max="20" width="11.5703125" customWidth="1"/>
    <col min="21" max="1022" width="8.5703125" customWidth="1"/>
  </cols>
  <sheetData>
    <row r="1" spans="1:10" x14ac:dyDescent="0.25">
      <c r="A1" t="s">
        <v>494</v>
      </c>
      <c r="J1" t="s">
        <v>497</v>
      </c>
    </row>
    <row r="2" spans="1:10" x14ac:dyDescent="0.25">
      <c r="A2" s="1"/>
      <c r="B2" s="36"/>
      <c r="C2" s="51"/>
      <c r="D2" s="36"/>
      <c r="E2" s="48"/>
      <c r="F2" s="1"/>
      <c r="G2" s="1"/>
      <c r="H2" s="342" t="s">
        <v>0</v>
      </c>
      <c r="I2" s="342"/>
      <c r="J2" s="52"/>
    </row>
    <row r="3" spans="1:10" x14ac:dyDescent="0.25">
      <c r="A3" s="1"/>
      <c r="B3" s="36"/>
      <c r="C3" s="51"/>
      <c r="D3" s="36"/>
      <c r="E3" s="48"/>
      <c r="F3" s="1"/>
      <c r="G3" s="1"/>
      <c r="H3" s="307" t="s">
        <v>377</v>
      </c>
      <c r="I3" s="53"/>
      <c r="J3" s="53"/>
    </row>
    <row r="4" spans="1:10" x14ac:dyDescent="0.25">
      <c r="A4" s="1"/>
      <c r="B4" s="36"/>
      <c r="C4" s="51"/>
      <c r="D4" s="36"/>
      <c r="E4" s="48"/>
      <c r="F4" s="1"/>
      <c r="G4" s="1"/>
      <c r="H4" s="343" t="s">
        <v>1</v>
      </c>
      <c r="I4" s="343"/>
      <c r="J4" s="343"/>
    </row>
    <row r="5" spans="1:10" x14ac:dyDescent="0.25">
      <c r="A5" s="1"/>
      <c r="B5" s="36"/>
      <c r="C5" s="51"/>
      <c r="D5" s="36"/>
      <c r="E5" s="48"/>
      <c r="F5" s="1"/>
      <c r="G5" s="1"/>
      <c r="H5" s="343" t="s">
        <v>378</v>
      </c>
      <c r="I5" s="343"/>
      <c r="J5" s="343"/>
    </row>
    <row r="6" spans="1:10" x14ac:dyDescent="0.25">
      <c r="A6" s="1"/>
      <c r="B6" s="36"/>
      <c r="C6" s="51"/>
      <c r="D6" s="36"/>
      <c r="E6" s="48"/>
      <c r="F6" s="1"/>
      <c r="G6" s="1"/>
      <c r="H6" s="343" t="s">
        <v>518</v>
      </c>
      <c r="I6" s="343"/>
      <c r="J6" s="343"/>
    </row>
    <row r="7" spans="1:10" x14ac:dyDescent="0.25">
      <c r="A7" s="1"/>
      <c r="B7" s="36"/>
      <c r="C7" s="51"/>
      <c r="D7" s="36"/>
      <c r="E7" s="48"/>
      <c r="F7" s="1"/>
      <c r="G7" s="1"/>
      <c r="H7" s="343" t="s">
        <v>40</v>
      </c>
      <c r="I7" s="343"/>
      <c r="J7" s="343"/>
    </row>
    <row r="8" spans="1:10" x14ac:dyDescent="0.25">
      <c r="A8" s="1"/>
      <c r="B8" s="36"/>
      <c r="C8" s="51"/>
      <c r="D8" s="36"/>
      <c r="E8" s="48"/>
      <c r="F8" s="1"/>
      <c r="G8" s="1"/>
      <c r="H8" s="343" t="s">
        <v>41</v>
      </c>
      <c r="I8" s="343"/>
      <c r="J8" s="343"/>
    </row>
    <row r="9" spans="1:10" x14ac:dyDescent="0.25">
      <c r="A9" s="1"/>
      <c r="B9" s="36"/>
      <c r="C9" s="51"/>
      <c r="D9" s="36"/>
      <c r="E9" s="48"/>
      <c r="F9" s="1"/>
      <c r="G9" s="1"/>
      <c r="H9" s="308" t="s">
        <v>2</v>
      </c>
      <c r="I9" s="44"/>
      <c r="J9" s="44"/>
    </row>
    <row r="10" spans="1:10" x14ac:dyDescent="0.25">
      <c r="A10" s="1"/>
      <c r="B10" s="36"/>
      <c r="C10" s="51"/>
      <c r="D10" s="36"/>
      <c r="E10" s="48"/>
      <c r="F10" s="1"/>
      <c r="G10" s="1"/>
      <c r="H10" s="309" t="s">
        <v>3</v>
      </c>
      <c r="I10" s="340"/>
      <c r="J10" s="340"/>
    </row>
    <row r="11" spans="1:10" x14ac:dyDescent="0.25">
      <c r="A11" s="1"/>
      <c r="B11" s="36"/>
      <c r="C11" s="51"/>
      <c r="D11" s="36"/>
      <c r="E11" s="48"/>
      <c r="F11" s="1"/>
      <c r="G11" s="1"/>
      <c r="H11" s="309" t="s">
        <v>264</v>
      </c>
      <c r="I11" s="340"/>
      <c r="J11" s="340"/>
    </row>
    <row r="12" spans="1:10" x14ac:dyDescent="0.25">
      <c r="A12" s="1"/>
      <c r="B12" s="36"/>
      <c r="C12" s="51"/>
      <c r="D12" s="36"/>
      <c r="E12" s="48"/>
      <c r="F12" s="1"/>
      <c r="G12" s="1"/>
      <c r="H12" s="309" t="s">
        <v>4</v>
      </c>
      <c r="I12" s="340" t="s">
        <v>265</v>
      </c>
      <c r="J12" s="340"/>
    </row>
    <row r="13" spans="1:10" x14ac:dyDescent="0.25">
      <c r="A13" s="1"/>
      <c r="B13" s="36"/>
      <c r="C13" s="51"/>
      <c r="D13" s="36"/>
      <c r="E13" s="48"/>
      <c r="F13" s="1"/>
      <c r="G13" s="1"/>
      <c r="H13" s="340" t="s">
        <v>5</v>
      </c>
      <c r="I13" s="340"/>
      <c r="J13" s="340"/>
    </row>
    <row r="14" spans="1:10" x14ac:dyDescent="0.25">
      <c r="A14" s="1"/>
      <c r="B14" s="341"/>
      <c r="C14" s="341"/>
      <c r="D14" s="341"/>
      <c r="E14" s="341"/>
      <c r="F14" s="1"/>
      <c r="G14" s="1"/>
      <c r="H14" s="340" t="s">
        <v>6</v>
      </c>
      <c r="I14" s="340"/>
      <c r="J14" s="340"/>
    </row>
    <row r="15" spans="1:10" ht="39" customHeight="1" x14ac:dyDescent="0.25">
      <c r="A15" s="54" t="s">
        <v>7</v>
      </c>
      <c r="B15" s="344" t="s">
        <v>517</v>
      </c>
      <c r="C15" s="344"/>
      <c r="D15" s="344"/>
      <c r="E15" s="344"/>
      <c r="F15" s="344"/>
      <c r="G15" s="55"/>
      <c r="H15" s="310" t="s">
        <v>8</v>
      </c>
      <c r="I15" s="345" t="s">
        <v>363</v>
      </c>
      <c r="J15" s="345"/>
    </row>
    <row r="16" spans="1:10" ht="21.75" customHeight="1" x14ac:dyDescent="0.25">
      <c r="A16" s="54" t="s">
        <v>9</v>
      </c>
      <c r="B16" s="344" t="s">
        <v>266</v>
      </c>
      <c r="C16" s="344"/>
      <c r="D16" s="344"/>
      <c r="E16" s="344"/>
      <c r="F16" s="56"/>
      <c r="G16" s="57"/>
      <c r="H16" s="309" t="s">
        <v>10</v>
      </c>
      <c r="I16" s="340">
        <v>150</v>
      </c>
      <c r="J16" s="340"/>
    </row>
    <row r="17" spans="1:11" ht="21.75" customHeight="1" x14ac:dyDescent="0.25">
      <c r="A17" s="54" t="s">
        <v>11</v>
      </c>
      <c r="B17" s="344"/>
      <c r="C17" s="344"/>
      <c r="D17" s="344"/>
      <c r="E17" s="344"/>
      <c r="F17" s="56"/>
      <c r="G17" s="57"/>
      <c r="H17" s="309" t="s">
        <v>12</v>
      </c>
      <c r="I17" s="346">
        <v>1224510100</v>
      </c>
      <c r="J17" s="346"/>
    </row>
    <row r="18" spans="1:11" ht="21.75" customHeight="1" x14ac:dyDescent="0.25">
      <c r="A18" s="54" t="s">
        <v>267</v>
      </c>
      <c r="B18" s="344" t="s">
        <v>268</v>
      </c>
      <c r="C18" s="344"/>
      <c r="D18" s="344"/>
      <c r="E18" s="344"/>
      <c r="F18" s="58"/>
      <c r="G18" s="55"/>
      <c r="H18" s="309" t="s">
        <v>13</v>
      </c>
      <c r="I18" s="340">
        <v>1007</v>
      </c>
      <c r="J18" s="340"/>
    </row>
    <row r="19" spans="1:11" ht="21.75" customHeight="1" x14ac:dyDescent="0.25">
      <c r="A19" s="54" t="s">
        <v>14</v>
      </c>
      <c r="B19" s="344" t="s">
        <v>269</v>
      </c>
      <c r="C19" s="344"/>
      <c r="D19" s="344"/>
      <c r="E19" s="344"/>
      <c r="F19" s="58"/>
      <c r="G19" s="55"/>
      <c r="H19" s="309" t="s">
        <v>15</v>
      </c>
      <c r="I19" s="340"/>
      <c r="J19" s="340"/>
    </row>
    <row r="20" spans="1:11" ht="21.75" customHeight="1" x14ac:dyDescent="0.25">
      <c r="A20" s="54" t="s">
        <v>16</v>
      </c>
      <c r="B20" s="344" t="s">
        <v>270</v>
      </c>
      <c r="C20" s="344"/>
      <c r="D20" s="344"/>
      <c r="E20" s="344"/>
      <c r="F20" s="58"/>
      <c r="G20" s="59"/>
      <c r="H20" s="311" t="s">
        <v>17</v>
      </c>
      <c r="I20" s="340" t="s">
        <v>365</v>
      </c>
      <c r="J20" s="340"/>
    </row>
    <row r="21" spans="1:11" ht="21.75" customHeight="1" x14ac:dyDescent="0.25">
      <c r="A21" s="54" t="s">
        <v>18</v>
      </c>
      <c r="B21" s="344" t="s">
        <v>364</v>
      </c>
      <c r="C21" s="344"/>
      <c r="D21" s="344"/>
      <c r="E21" s="344"/>
      <c r="F21" s="351" t="s">
        <v>19</v>
      </c>
      <c r="G21" s="351"/>
      <c r="H21" s="351"/>
      <c r="I21" s="350"/>
      <c r="J21" s="350"/>
    </row>
    <row r="22" spans="1:11" ht="21.75" customHeight="1" x14ac:dyDescent="0.25">
      <c r="A22" s="54" t="s">
        <v>20</v>
      </c>
      <c r="B22" s="344" t="s">
        <v>271</v>
      </c>
      <c r="C22" s="344"/>
      <c r="D22" s="344"/>
      <c r="E22" s="344"/>
      <c r="F22" s="351" t="s">
        <v>21</v>
      </c>
      <c r="G22" s="351"/>
      <c r="H22" s="351"/>
      <c r="I22" s="350"/>
      <c r="J22" s="350"/>
    </row>
    <row r="23" spans="1:11" ht="27.75" customHeight="1" x14ac:dyDescent="0.25">
      <c r="A23" s="54" t="s">
        <v>22</v>
      </c>
      <c r="B23" s="347"/>
      <c r="C23" s="347"/>
      <c r="D23" s="347"/>
      <c r="E23" s="347"/>
      <c r="F23" s="58"/>
      <c r="G23" s="58"/>
      <c r="H23" s="312"/>
      <c r="I23" s="348"/>
      <c r="J23" s="348"/>
    </row>
    <row r="24" spans="1:11" ht="26.25" customHeight="1" x14ac:dyDescent="0.25">
      <c r="A24" s="54" t="s">
        <v>23</v>
      </c>
      <c r="B24" s="344" t="s">
        <v>360</v>
      </c>
      <c r="C24" s="344"/>
      <c r="D24" s="344"/>
      <c r="E24" s="344"/>
      <c r="F24" s="344"/>
      <c r="G24" s="56"/>
      <c r="H24" s="309"/>
      <c r="I24" s="340"/>
      <c r="J24" s="340"/>
    </row>
    <row r="25" spans="1:11" ht="21.75" customHeight="1" x14ac:dyDescent="0.25">
      <c r="A25" s="54" t="s">
        <v>24</v>
      </c>
      <c r="B25" s="349"/>
      <c r="C25" s="349"/>
      <c r="D25" s="349"/>
      <c r="E25" s="349"/>
      <c r="F25" s="58"/>
      <c r="G25" s="58"/>
      <c r="H25" s="312"/>
      <c r="I25" s="350"/>
      <c r="J25" s="350"/>
    </row>
    <row r="26" spans="1:11" ht="21.75" customHeight="1" x14ac:dyDescent="0.25">
      <c r="A26" s="54" t="s">
        <v>25</v>
      </c>
      <c r="B26" s="349" t="s">
        <v>500</v>
      </c>
      <c r="C26" s="349"/>
      <c r="D26" s="349"/>
      <c r="E26" s="349"/>
      <c r="F26" s="56"/>
      <c r="G26" s="56"/>
      <c r="H26" s="309"/>
      <c r="I26" s="352"/>
      <c r="J26" s="352"/>
    </row>
    <row r="27" spans="1:11" x14ac:dyDescent="0.25">
      <c r="A27" s="1"/>
      <c r="B27" s="36"/>
      <c r="C27" s="51"/>
      <c r="D27" s="36"/>
      <c r="E27" s="48"/>
      <c r="F27" s="1"/>
      <c r="G27" s="1"/>
      <c r="H27" s="48"/>
      <c r="I27" s="1"/>
      <c r="J27" s="52"/>
    </row>
    <row r="28" spans="1:11" x14ac:dyDescent="0.25">
      <c r="A28" s="353" t="s">
        <v>505</v>
      </c>
      <c r="B28" s="353"/>
      <c r="C28" s="353"/>
      <c r="D28" s="353"/>
      <c r="E28" s="353"/>
      <c r="F28" s="353"/>
      <c r="G28" s="353"/>
      <c r="H28" s="353"/>
      <c r="I28" s="353"/>
      <c r="J28" s="52"/>
    </row>
    <row r="29" spans="1:11" ht="14.65" customHeight="1" x14ac:dyDescent="0.25">
      <c r="A29" s="2"/>
      <c r="B29" s="60"/>
      <c r="C29" s="61"/>
      <c r="D29" s="2"/>
      <c r="E29" s="62"/>
      <c r="F29" s="2"/>
      <c r="G29" s="2"/>
      <c r="H29" s="62"/>
      <c r="I29" s="354" t="s">
        <v>261</v>
      </c>
      <c r="J29" s="354"/>
    </row>
    <row r="30" spans="1:11" ht="15" customHeight="1" x14ac:dyDescent="0.25">
      <c r="A30" s="355" t="s">
        <v>26</v>
      </c>
      <c r="B30" s="356" t="s">
        <v>27</v>
      </c>
      <c r="C30" s="357" t="s">
        <v>503</v>
      </c>
      <c r="D30" s="356" t="s">
        <v>504</v>
      </c>
      <c r="E30" s="358" t="s">
        <v>28</v>
      </c>
      <c r="F30" s="356" t="s">
        <v>29</v>
      </c>
      <c r="G30" s="356"/>
      <c r="H30" s="356"/>
      <c r="I30" s="356"/>
      <c r="J30" s="359" t="s">
        <v>30</v>
      </c>
      <c r="K30" s="360"/>
    </row>
    <row r="31" spans="1:11" ht="22.5" customHeight="1" x14ac:dyDescent="0.25">
      <c r="A31" s="355"/>
      <c r="B31" s="356"/>
      <c r="C31" s="357"/>
      <c r="D31" s="356"/>
      <c r="E31" s="358"/>
      <c r="F31" s="63" t="s">
        <v>31</v>
      </c>
      <c r="G31" s="63" t="s">
        <v>32</v>
      </c>
      <c r="H31" s="102" t="s">
        <v>33</v>
      </c>
      <c r="I31" s="63" t="s">
        <v>34</v>
      </c>
      <c r="J31" s="359"/>
      <c r="K31" s="360"/>
    </row>
    <row r="32" spans="1:11" ht="15" customHeight="1" x14ac:dyDescent="0.25">
      <c r="A32" s="41">
        <v>1</v>
      </c>
      <c r="B32" s="42">
        <v>2</v>
      </c>
      <c r="C32" s="64"/>
      <c r="D32" s="42">
        <v>3</v>
      </c>
      <c r="E32" s="45">
        <v>4</v>
      </c>
      <c r="F32" s="42">
        <v>5</v>
      </c>
      <c r="G32" s="42">
        <v>6</v>
      </c>
      <c r="H32" s="45">
        <v>7</v>
      </c>
      <c r="I32" s="42">
        <v>8</v>
      </c>
      <c r="J32" s="65" t="s">
        <v>263</v>
      </c>
      <c r="K32" s="52"/>
    </row>
    <row r="33" spans="1:15" ht="14.65" customHeight="1" x14ac:dyDescent="0.25">
      <c r="A33" s="361" t="s">
        <v>103</v>
      </c>
      <c r="B33" s="361"/>
      <c r="C33" s="361"/>
      <c r="D33" s="361"/>
      <c r="E33" s="361"/>
      <c r="F33" s="361"/>
      <c r="G33" s="361"/>
      <c r="H33" s="361"/>
      <c r="I33" s="361"/>
      <c r="J33" s="361"/>
    </row>
    <row r="34" spans="1:15" ht="14.65" customHeight="1" x14ac:dyDescent="0.25">
      <c r="A34" s="361" t="s">
        <v>106</v>
      </c>
      <c r="B34" s="361"/>
      <c r="C34" s="361"/>
      <c r="D34" s="361"/>
      <c r="E34" s="361"/>
      <c r="F34" s="361"/>
      <c r="G34" s="361"/>
      <c r="H34" s="361"/>
      <c r="I34" s="361"/>
      <c r="J34" s="361"/>
    </row>
    <row r="35" spans="1:15" ht="34.15" customHeight="1" x14ac:dyDescent="0.25">
      <c r="A35" s="66" t="s">
        <v>233</v>
      </c>
      <c r="B35" s="67">
        <v>100</v>
      </c>
      <c r="C35" s="68">
        <f t="shared" ref="C35" si="0">C36+C37+C38+C39</f>
        <v>12259.874</v>
      </c>
      <c r="D35" s="73">
        <v>12449.314</v>
      </c>
      <c r="E35" s="73">
        <f>F35+G35+H35+I35</f>
        <v>12146.036100000001</v>
      </c>
      <c r="F35" s="68">
        <f t="shared" ref="F35:I35" si="1">F36+F37+F38+F39</f>
        <v>2549.6750000000002</v>
      </c>
      <c r="G35" s="68">
        <f t="shared" si="1"/>
        <v>4356.55</v>
      </c>
      <c r="H35" s="68">
        <f t="shared" si="1"/>
        <v>2705.9949999999999</v>
      </c>
      <c r="I35" s="68">
        <f t="shared" si="1"/>
        <v>2533.8160999999996</v>
      </c>
      <c r="J35" s="42" t="s">
        <v>239</v>
      </c>
    </row>
    <row r="36" spans="1:15" x14ac:dyDescent="0.25">
      <c r="A36" s="70" t="s">
        <v>238</v>
      </c>
      <c r="B36" s="71">
        <v>110</v>
      </c>
      <c r="C36" s="43">
        <v>9391.4750000000004</v>
      </c>
      <c r="D36" s="73">
        <v>9097.726999999999</v>
      </c>
      <c r="E36" s="73">
        <f>F36+G36+H36+I36</f>
        <v>10047.315000000001</v>
      </c>
      <c r="F36" s="69">
        <v>2025</v>
      </c>
      <c r="G36" s="69">
        <v>3831.877</v>
      </c>
      <c r="H36" s="72">
        <v>2181.3220000000001</v>
      </c>
      <c r="I36" s="69">
        <v>2009.116</v>
      </c>
      <c r="J36" s="42">
        <v>0</v>
      </c>
    </row>
    <row r="37" spans="1:15" ht="51" x14ac:dyDescent="0.25">
      <c r="A37" s="70" t="s">
        <v>234</v>
      </c>
      <c r="B37" s="71">
        <v>120</v>
      </c>
      <c r="C37" s="43">
        <v>2370.3249999999998</v>
      </c>
      <c r="D37" s="73">
        <v>2217.6799999999998</v>
      </c>
      <c r="E37" s="73">
        <f>F37+G37+H37+I37</f>
        <v>1536.694</v>
      </c>
      <c r="F37" s="69">
        <v>384.17500000000001</v>
      </c>
      <c r="G37" s="69">
        <v>384.173</v>
      </c>
      <c r="H37" s="69">
        <v>384.173</v>
      </c>
      <c r="I37" s="69">
        <v>384.173</v>
      </c>
      <c r="J37" s="42" t="s">
        <v>498</v>
      </c>
    </row>
    <row r="38" spans="1:15" ht="24" customHeight="1" x14ac:dyDescent="0.25">
      <c r="A38" s="70" t="s">
        <v>235</v>
      </c>
      <c r="B38" s="71">
        <v>130</v>
      </c>
      <c r="C38" s="43"/>
      <c r="D38" s="73">
        <v>635.90700000000004</v>
      </c>
      <c r="E38" s="73">
        <f>F38+G38+H38+I38</f>
        <v>562.02710000000002</v>
      </c>
      <c r="F38" s="43">
        <v>140.5</v>
      </c>
      <c r="G38" s="43">
        <v>140.5</v>
      </c>
      <c r="H38" s="46">
        <v>140.5</v>
      </c>
      <c r="I38" s="69">
        <v>140.52709999999999</v>
      </c>
      <c r="J38" s="42" t="s">
        <v>272</v>
      </c>
    </row>
    <row r="39" spans="1:15" ht="27" customHeight="1" x14ac:dyDescent="0.25">
      <c r="A39" s="70" t="s">
        <v>236</v>
      </c>
      <c r="B39" s="71">
        <v>140</v>
      </c>
      <c r="C39" s="43">
        <v>498.07400000000001</v>
      </c>
      <c r="D39" s="73">
        <v>498</v>
      </c>
      <c r="E39" s="73">
        <f>F39+G39+H39+I39</f>
        <v>0</v>
      </c>
      <c r="F39" s="43"/>
      <c r="G39" s="43"/>
      <c r="H39" s="46"/>
      <c r="I39" s="69">
        <v>0</v>
      </c>
      <c r="J39" s="43"/>
    </row>
    <row r="40" spans="1:15" ht="38.25" x14ac:dyDescent="0.25">
      <c r="A40" s="74" t="s">
        <v>102</v>
      </c>
      <c r="B40" s="43">
        <v>1000</v>
      </c>
      <c r="C40" s="73">
        <f>C41+C42+C46+C63</f>
        <v>77204.853810000001</v>
      </c>
      <c r="D40" s="73">
        <v>97002.81071000002</v>
      </c>
      <c r="E40" s="73">
        <f t="shared" ref="E40:E49" si="2">F40+G40+H40+I40</f>
        <v>107821.54800000001</v>
      </c>
      <c r="F40" s="73">
        <f>F41+F42+F46+F63</f>
        <v>31501.313000000002</v>
      </c>
      <c r="G40" s="73">
        <f t="shared" ref="G40:I40" si="3">G41+G42+G46+G63</f>
        <v>27719.947</v>
      </c>
      <c r="H40" s="73">
        <f>H41+H42+H46+H63+H45</f>
        <v>23811.244999999999</v>
      </c>
      <c r="I40" s="73">
        <f t="shared" si="3"/>
        <v>24789.042999999998</v>
      </c>
      <c r="J40" s="65" t="s">
        <v>246</v>
      </c>
      <c r="K40" s="52"/>
    </row>
    <row r="41" spans="1:15" ht="38.25" x14ac:dyDescent="0.25">
      <c r="A41" s="75" t="s">
        <v>35</v>
      </c>
      <c r="B41" s="41">
        <v>1010</v>
      </c>
      <c r="C41" s="76">
        <v>4129.3031499999997</v>
      </c>
      <c r="D41" s="73">
        <v>2700</v>
      </c>
      <c r="E41" s="73">
        <f t="shared" si="2"/>
        <v>2400</v>
      </c>
      <c r="F41" s="77">
        <v>600</v>
      </c>
      <c r="G41" s="77">
        <v>600</v>
      </c>
      <c r="H41" s="265">
        <v>600</v>
      </c>
      <c r="I41" s="77">
        <v>600</v>
      </c>
      <c r="J41" s="78" t="s">
        <v>273</v>
      </c>
      <c r="K41" s="79"/>
    </row>
    <row r="42" spans="1:15" ht="25.5" x14ac:dyDescent="0.25">
      <c r="A42" s="75" t="s">
        <v>186</v>
      </c>
      <c r="B42" s="41">
        <v>1020</v>
      </c>
      <c r="C42" s="69">
        <v>58692.718339999999</v>
      </c>
      <c r="D42" s="80">
        <v>74585.500199999995</v>
      </c>
      <c r="E42" s="80">
        <f t="shared" si="2"/>
        <v>84189.562000000005</v>
      </c>
      <c r="F42" s="265">
        <v>22130</v>
      </c>
      <c r="G42" s="265">
        <v>22292</v>
      </c>
      <c r="H42" s="265">
        <v>20056.678</v>
      </c>
      <c r="I42" s="265">
        <v>19710.883999999998</v>
      </c>
      <c r="J42" s="78" t="s">
        <v>109</v>
      </c>
      <c r="K42" s="81"/>
      <c r="L42" s="284"/>
    </row>
    <row r="43" spans="1:15" ht="25.5" x14ac:dyDescent="0.25">
      <c r="A43" s="82" t="s">
        <v>274</v>
      </c>
      <c r="B43" s="41">
        <v>1030</v>
      </c>
      <c r="C43" s="76">
        <v>0</v>
      </c>
      <c r="D43" s="80">
        <v>0</v>
      </c>
      <c r="E43" s="80">
        <f t="shared" si="2"/>
        <v>0</v>
      </c>
      <c r="F43" s="77"/>
      <c r="G43" s="77"/>
      <c r="H43" s="265"/>
      <c r="I43" s="77"/>
      <c r="J43" s="78"/>
      <c r="K43" s="79"/>
    </row>
    <row r="44" spans="1:15" ht="38.25" x14ac:dyDescent="0.25">
      <c r="A44" s="75" t="s">
        <v>187</v>
      </c>
      <c r="B44" s="41">
        <v>1040</v>
      </c>
      <c r="C44" s="76">
        <v>0</v>
      </c>
      <c r="D44" s="73">
        <v>0</v>
      </c>
      <c r="E44" s="73">
        <f t="shared" si="2"/>
        <v>0</v>
      </c>
      <c r="F44" s="83"/>
      <c r="G44" s="83"/>
      <c r="H44" s="313">
        <f>H45</f>
        <v>0</v>
      </c>
      <c r="I44" s="83"/>
      <c r="J44" s="78"/>
      <c r="K44" s="79"/>
    </row>
    <row r="45" spans="1:15" ht="15" customHeight="1" x14ac:dyDescent="0.25">
      <c r="A45" s="84"/>
      <c r="B45" s="85" t="s">
        <v>240</v>
      </c>
      <c r="C45" s="76">
        <v>0</v>
      </c>
      <c r="D45" s="73">
        <v>0</v>
      </c>
      <c r="E45" s="73">
        <f t="shared" si="2"/>
        <v>0</v>
      </c>
      <c r="F45" s="83"/>
      <c r="G45" s="83"/>
      <c r="H45" s="313"/>
      <c r="I45" s="83"/>
      <c r="J45" s="78"/>
      <c r="K45" s="79"/>
    </row>
    <row r="46" spans="1:15" ht="32.25" customHeight="1" x14ac:dyDescent="0.25">
      <c r="A46" s="87" t="s">
        <v>185</v>
      </c>
      <c r="B46" s="41">
        <v>1050</v>
      </c>
      <c r="C46" s="260">
        <v>11801.210580000001</v>
      </c>
      <c r="D46" s="88">
        <v>18566.192510000001</v>
      </c>
      <c r="E46" s="334">
        <f>F46+G46+H46+I46</f>
        <v>20239.186000000002</v>
      </c>
      <c r="F46" s="88">
        <f>F47+F59</f>
        <v>8504.4130000000005</v>
      </c>
      <c r="G46" s="88">
        <f>G47+G59</f>
        <v>4622.6470000000008</v>
      </c>
      <c r="H46" s="88">
        <f>H47</f>
        <v>2929.2669999999994</v>
      </c>
      <c r="I46" s="88">
        <f>I47+I59</f>
        <v>4182.8590000000004</v>
      </c>
      <c r="J46" s="65" t="s">
        <v>245</v>
      </c>
      <c r="K46" s="52"/>
      <c r="O46" s="316"/>
    </row>
    <row r="47" spans="1:15" ht="28.15" customHeight="1" x14ac:dyDescent="0.25">
      <c r="A47" s="89" t="s">
        <v>183</v>
      </c>
      <c r="B47" s="85">
        <v>1051</v>
      </c>
      <c r="C47" s="259">
        <v>11781.11058</v>
      </c>
      <c r="D47" s="91">
        <v>18528.192510000001</v>
      </c>
      <c r="E47" s="334">
        <f t="shared" si="2"/>
        <v>20239.186000000002</v>
      </c>
      <c r="F47" s="91">
        <f t="shared" ref="F47:I47" si="4">F48+F49+F53+F55+F56+F57+F58+F54</f>
        <v>8504.4130000000005</v>
      </c>
      <c r="G47" s="91">
        <f t="shared" si="4"/>
        <v>4622.6470000000008</v>
      </c>
      <c r="H47" s="91">
        <f t="shared" si="4"/>
        <v>2929.2669999999994</v>
      </c>
      <c r="I47" s="91">
        <f t="shared" si="4"/>
        <v>4182.8590000000004</v>
      </c>
      <c r="J47" s="65"/>
      <c r="K47" s="52"/>
      <c r="L47" s="137"/>
      <c r="N47" s="137"/>
      <c r="O47" s="316"/>
    </row>
    <row r="48" spans="1:15" s="39" customFormat="1" ht="27" customHeight="1" x14ac:dyDescent="0.25">
      <c r="A48" s="118" t="s">
        <v>184</v>
      </c>
      <c r="B48" s="285" t="s">
        <v>241</v>
      </c>
      <c r="C48" s="286">
        <v>8689.1696699999993</v>
      </c>
      <c r="D48" s="91">
        <v>12554.003000000001</v>
      </c>
      <c r="E48" s="334">
        <f t="shared" si="2"/>
        <v>13450.194</v>
      </c>
      <c r="F48" s="91">
        <v>6441.4859999999999</v>
      </c>
      <c r="G48" s="91">
        <v>2833.261</v>
      </c>
      <c r="H48" s="91">
        <v>1350.8530000000001</v>
      </c>
      <c r="I48" s="91">
        <v>2824.5940000000001</v>
      </c>
      <c r="J48" s="287"/>
      <c r="K48" s="288"/>
      <c r="L48" s="289"/>
      <c r="N48" s="289"/>
      <c r="O48" s="317"/>
    </row>
    <row r="49" spans="1:15" x14ac:dyDescent="0.25">
      <c r="A49" s="92" t="s">
        <v>275</v>
      </c>
      <c r="B49" s="85" t="s">
        <v>276</v>
      </c>
      <c r="C49" s="263">
        <v>2173.7500599999998</v>
      </c>
      <c r="D49" s="91">
        <v>3847.0519999999997</v>
      </c>
      <c r="E49" s="334">
        <f t="shared" si="2"/>
        <v>4162.7659999999996</v>
      </c>
      <c r="F49" s="91">
        <v>1152.2529999999999</v>
      </c>
      <c r="G49" s="91">
        <v>1005.215</v>
      </c>
      <c r="H49" s="91">
        <v>1007.399</v>
      </c>
      <c r="I49" s="91">
        <v>997.899</v>
      </c>
      <c r="J49" s="65"/>
      <c r="K49" s="52"/>
      <c r="L49" s="137"/>
      <c r="O49" s="316"/>
    </row>
    <row r="50" spans="1:15" ht="20.25" customHeight="1" x14ac:dyDescent="0.25">
      <c r="A50" s="355" t="s">
        <v>26</v>
      </c>
      <c r="B50" s="356" t="s">
        <v>27</v>
      </c>
      <c r="C50" s="357" t="s">
        <v>503</v>
      </c>
      <c r="D50" s="358" t="s">
        <v>504</v>
      </c>
      <c r="E50" s="362" t="s">
        <v>28</v>
      </c>
      <c r="F50" s="358" t="s">
        <v>29</v>
      </c>
      <c r="G50" s="358"/>
      <c r="H50" s="358"/>
      <c r="I50" s="358"/>
      <c r="J50" s="359" t="s">
        <v>30</v>
      </c>
      <c r="K50" s="52"/>
      <c r="L50" s="137"/>
      <c r="O50" s="316"/>
    </row>
    <row r="51" spans="1:15" x14ac:dyDescent="0.25">
      <c r="A51" s="355"/>
      <c r="B51" s="356"/>
      <c r="C51" s="357"/>
      <c r="D51" s="358"/>
      <c r="E51" s="362"/>
      <c r="F51" s="102" t="s">
        <v>31</v>
      </c>
      <c r="G51" s="102" t="s">
        <v>32</v>
      </c>
      <c r="H51" s="102" t="s">
        <v>33</v>
      </c>
      <c r="I51" s="102" t="s">
        <v>34</v>
      </c>
      <c r="J51" s="359"/>
      <c r="K51" s="52"/>
      <c r="L51" s="137"/>
      <c r="O51" s="316"/>
    </row>
    <row r="52" spans="1:15" ht="15.75" customHeight="1" x14ac:dyDescent="0.25">
      <c r="A52" s="41">
        <v>1</v>
      </c>
      <c r="B52" s="42">
        <v>2</v>
      </c>
      <c r="C52" s="64"/>
      <c r="D52" s="45">
        <v>3</v>
      </c>
      <c r="E52" s="335">
        <v>4</v>
      </c>
      <c r="F52" s="45">
        <v>5</v>
      </c>
      <c r="G52" s="45">
        <v>6</v>
      </c>
      <c r="H52" s="45">
        <v>7</v>
      </c>
      <c r="I52" s="45">
        <v>8</v>
      </c>
      <c r="J52" s="65" t="s">
        <v>263</v>
      </c>
      <c r="K52" s="52"/>
      <c r="L52" s="137"/>
      <c r="O52" s="316"/>
    </row>
    <row r="53" spans="1:15" x14ac:dyDescent="0.25">
      <c r="A53" s="92" t="s">
        <v>277</v>
      </c>
      <c r="B53" s="85" t="s">
        <v>278</v>
      </c>
      <c r="C53" s="263">
        <v>476.48271999999997</v>
      </c>
      <c r="D53" s="91">
        <v>855.55799999999999</v>
      </c>
      <c r="E53" s="334">
        <f>F53+G53+H53+I53</f>
        <v>915.81200000000001</v>
      </c>
      <c r="F53" s="91">
        <v>255.45400000000001</v>
      </c>
      <c r="G53" s="91">
        <v>219.71700000000001</v>
      </c>
      <c r="H53" s="91">
        <v>221.39699999999999</v>
      </c>
      <c r="I53" s="91">
        <v>219.244</v>
      </c>
      <c r="J53" s="65"/>
      <c r="K53" s="52"/>
      <c r="L53" s="137"/>
      <c r="O53" s="316"/>
    </row>
    <row r="54" spans="1:15" ht="25.5" x14ac:dyDescent="0.25">
      <c r="A54" s="92" t="s">
        <v>279</v>
      </c>
      <c r="B54" s="85" t="s">
        <v>280</v>
      </c>
      <c r="C54" s="263">
        <v>28.478999999999999</v>
      </c>
      <c r="D54" s="91">
        <v>278.16651000000002</v>
      </c>
      <c r="E54" s="334">
        <f t="shared" ref="E54:E68" si="5">F54+G54+H54+I54</f>
        <v>421.61</v>
      </c>
      <c r="F54" s="91">
        <v>197.93</v>
      </c>
      <c r="G54" s="91">
        <v>137.58000000000001</v>
      </c>
      <c r="H54" s="91">
        <v>86.1</v>
      </c>
      <c r="I54" s="91">
        <v>0</v>
      </c>
      <c r="J54" s="65"/>
      <c r="K54" s="52"/>
      <c r="L54" s="137"/>
      <c r="O54" s="316"/>
    </row>
    <row r="55" spans="1:15" x14ac:dyDescent="0.25">
      <c r="A55" s="92" t="s">
        <v>281</v>
      </c>
      <c r="B55" s="85" t="s">
        <v>282</v>
      </c>
      <c r="C55" s="263">
        <v>7.3955000000000002</v>
      </c>
      <c r="D55" s="91">
        <v>98.7</v>
      </c>
      <c r="E55" s="334">
        <f t="shared" si="5"/>
        <v>120.917</v>
      </c>
      <c r="F55" s="91">
        <v>96.233000000000004</v>
      </c>
      <c r="G55" s="91">
        <v>18.45</v>
      </c>
      <c r="H55" s="91">
        <v>6.234</v>
      </c>
      <c r="I55" s="91"/>
      <c r="J55" s="65"/>
      <c r="K55" s="52"/>
      <c r="L55" s="137"/>
      <c r="O55" s="316"/>
    </row>
    <row r="56" spans="1:15" ht="27" customHeight="1" x14ac:dyDescent="0.25">
      <c r="A56" s="92" t="s">
        <v>283</v>
      </c>
      <c r="B56" s="85" t="s">
        <v>284</v>
      </c>
      <c r="C56" s="263">
        <v>143.19588999999999</v>
      </c>
      <c r="D56" s="91">
        <v>291.04500000000002</v>
      </c>
      <c r="E56" s="334">
        <f t="shared" si="5"/>
        <v>292.73500000000001</v>
      </c>
      <c r="F56" s="91">
        <v>134.227</v>
      </c>
      <c r="G56" s="91">
        <v>44.435000000000002</v>
      </c>
      <c r="H56" s="91">
        <v>114.07299999999999</v>
      </c>
      <c r="I56" s="91">
        <v>0</v>
      </c>
      <c r="J56" s="65"/>
      <c r="K56" s="52"/>
      <c r="L56" s="137"/>
      <c r="O56" s="316"/>
    </row>
    <row r="57" spans="1:15" ht="27" customHeight="1" x14ac:dyDescent="0.25">
      <c r="A57" s="92" t="s">
        <v>285</v>
      </c>
      <c r="B57" s="85" t="s">
        <v>286</v>
      </c>
      <c r="C57" s="263">
        <v>88.23348</v>
      </c>
      <c r="D57" s="91">
        <v>288.34000000000003</v>
      </c>
      <c r="E57" s="334">
        <f t="shared" si="5"/>
        <v>367.80399999999997</v>
      </c>
      <c r="F57" s="91">
        <v>116.276</v>
      </c>
      <c r="G57" s="91">
        <v>234.17599999999999</v>
      </c>
      <c r="H57" s="91">
        <v>8.6760000000000002</v>
      </c>
      <c r="I57" s="91">
        <v>8.6760000000000002</v>
      </c>
      <c r="J57" s="65"/>
      <c r="K57" s="52"/>
      <c r="L57" s="137"/>
      <c r="O57" s="316"/>
    </row>
    <row r="58" spans="1:15" s="39" customFormat="1" x14ac:dyDescent="0.25">
      <c r="A58" s="118" t="s">
        <v>287</v>
      </c>
      <c r="B58" s="285" t="s">
        <v>288</v>
      </c>
      <c r="C58" s="325">
        <v>174.40425999999999</v>
      </c>
      <c r="D58" s="91">
        <v>315.32800000000003</v>
      </c>
      <c r="E58" s="334">
        <f t="shared" si="5"/>
        <v>507.34799999999996</v>
      </c>
      <c r="F58" s="91">
        <v>110.554</v>
      </c>
      <c r="G58" s="91">
        <v>129.81299999999999</v>
      </c>
      <c r="H58" s="91">
        <v>134.535</v>
      </c>
      <c r="I58" s="91">
        <v>132.446</v>
      </c>
      <c r="J58" s="287"/>
      <c r="K58" s="288"/>
      <c r="L58" s="289"/>
      <c r="O58" s="317"/>
    </row>
    <row r="59" spans="1:15" ht="38.25" x14ac:dyDescent="0.25">
      <c r="A59" s="89" t="s">
        <v>181</v>
      </c>
      <c r="B59" s="85">
        <v>1052</v>
      </c>
      <c r="C59" s="263">
        <v>20.100000000000001</v>
      </c>
      <c r="D59" s="73"/>
      <c r="E59" s="91">
        <f t="shared" si="5"/>
        <v>0</v>
      </c>
      <c r="F59" s="313"/>
      <c r="G59" s="313"/>
      <c r="H59" s="314"/>
      <c r="I59" s="314"/>
      <c r="J59" s="65"/>
      <c r="K59" s="52"/>
      <c r="L59" s="137"/>
      <c r="O59" s="316"/>
    </row>
    <row r="60" spans="1:15" ht="38.25" x14ac:dyDescent="0.25">
      <c r="A60" s="89" t="s">
        <v>495</v>
      </c>
      <c r="B60" s="85" t="s">
        <v>242</v>
      </c>
      <c r="C60" s="263">
        <v>20.100000000000001</v>
      </c>
      <c r="D60" s="73">
        <v>38</v>
      </c>
      <c r="E60" s="91">
        <f t="shared" si="5"/>
        <v>0</v>
      </c>
      <c r="F60" s="83"/>
      <c r="G60" s="83"/>
      <c r="H60" s="314"/>
      <c r="I60" s="93"/>
      <c r="J60" s="65"/>
      <c r="K60" s="52"/>
      <c r="L60" s="137"/>
      <c r="O60" s="316"/>
    </row>
    <row r="61" spans="1:15" x14ac:dyDescent="0.25">
      <c r="A61" s="75" t="s">
        <v>182</v>
      </c>
      <c r="B61" s="41">
        <v>1060</v>
      </c>
      <c r="C61" s="90"/>
      <c r="D61" s="73">
        <v>0</v>
      </c>
      <c r="E61" s="91">
        <f t="shared" si="5"/>
        <v>0</v>
      </c>
      <c r="F61" s="83"/>
      <c r="G61" s="83"/>
      <c r="H61" s="314"/>
      <c r="I61" s="93"/>
      <c r="J61" s="42" t="s">
        <v>289</v>
      </c>
      <c r="K61" s="60"/>
      <c r="L61" s="137"/>
      <c r="O61" s="316"/>
    </row>
    <row r="62" spans="1:15" x14ac:dyDescent="0.25">
      <c r="A62" s="75" t="s">
        <v>178</v>
      </c>
      <c r="B62" s="85" t="s">
        <v>243</v>
      </c>
      <c r="C62" s="263"/>
      <c r="D62" s="73">
        <v>0</v>
      </c>
      <c r="E62" s="91">
        <f t="shared" si="5"/>
        <v>0</v>
      </c>
      <c r="F62" s="83"/>
      <c r="G62" s="83"/>
      <c r="H62" s="314"/>
      <c r="I62" s="93"/>
      <c r="J62" s="42"/>
      <c r="K62" s="324"/>
      <c r="L62" s="137"/>
      <c r="O62" s="316"/>
    </row>
    <row r="63" spans="1:15" ht="25.5" x14ac:dyDescent="0.25">
      <c r="A63" s="94" t="s">
        <v>36</v>
      </c>
      <c r="B63" s="41">
        <v>1070</v>
      </c>
      <c r="C63" s="91">
        <f>C64+C65+C66+C67+C68+C69</f>
        <v>2581.62174</v>
      </c>
      <c r="D63" s="91">
        <v>1151.1179999999999</v>
      </c>
      <c r="E63" s="91">
        <f t="shared" si="5"/>
        <v>992.8</v>
      </c>
      <c r="F63" s="91">
        <f t="shared" ref="F63:I63" si="6">F64+F65+F66+F67+F68+F69</f>
        <v>266.89999999999998</v>
      </c>
      <c r="G63" s="91">
        <f t="shared" si="6"/>
        <v>205.3</v>
      </c>
      <c r="H63" s="91">
        <f t="shared" si="6"/>
        <v>225.3</v>
      </c>
      <c r="I63" s="91">
        <f t="shared" si="6"/>
        <v>295.29999999999995</v>
      </c>
      <c r="J63" s="65" t="s">
        <v>244</v>
      </c>
      <c r="K63" s="52"/>
      <c r="L63" s="137"/>
      <c r="O63" s="316"/>
    </row>
    <row r="64" spans="1:15" x14ac:dyDescent="0.25">
      <c r="A64" s="95" t="s">
        <v>37</v>
      </c>
      <c r="B64" s="85">
        <v>1071</v>
      </c>
      <c r="C64" s="139">
        <v>3.0314100000000002</v>
      </c>
      <c r="D64" s="265">
        <v>2.8</v>
      </c>
      <c r="E64" s="91">
        <f t="shared" si="5"/>
        <v>2.8</v>
      </c>
      <c r="F64" s="93">
        <v>0.7</v>
      </c>
      <c r="G64" s="93">
        <v>0.7</v>
      </c>
      <c r="H64" s="314">
        <v>0.7</v>
      </c>
      <c r="I64" s="93">
        <v>0.7</v>
      </c>
      <c r="J64" s="65"/>
      <c r="K64" s="52"/>
      <c r="L64" s="137"/>
    </row>
    <row r="65" spans="1:23" x14ac:dyDescent="0.25">
      <c r="A65" s="95" t="s">
        <v>38</v>
      </c>
      <c r="B65" s="85">
        <v>1072</v>
      </c>
      <c r="C65" s="139">
        <v>0</v>
      </c>
      <c r="D65" s="73">
        <v>0</v>
      </c>
      <c r="E65" s="91">
        <f t="shared" si="5"/>
        <v>0</v>
      </c>
      <c r="F65" s="93"/>
      <c r="G65" s="93"/>
      <c r="H65" s="314"/>
      <c r="I65" s="93"/>
      <c r="J65" s="65"/>
      <c r="K65" s="52"/>
      <c r="L65" s="137"/>
    </row>
    <row r="66" spans="1:23" ht="25.5" x14ac:dyDescent="0.25">
      <c r="A66" s="96" t="s">
        <v>104</v>
      </c>
      <c r="B66" s="85">
        <v>1073</v>
      </c>
      <c r="C66" s="139">
        <v>2578.59033</v>
      </c>
      <c r="D66" s="91">
        <v>540</v>
      </c>
      <c r="E66" s="91">
        <f t="shared" si="5"/>
        <v>440</v>
      </c>
      <c r="F66" s="90">
        <v>150</v>
      </c>
      <c r="G66" s="90">
        <v>60</v>
      </c>
      <c r="H66" s="91">
        <v>80</v>
      </c>
      <c r="I66" s="90">
        <v>150</v>
      </c>
      <c r="J66" s="65"/>
      <c r="K66" s="52"/>
      <c r="L66" s="137"/>
    </row>
    <row r="67" spans="1:23" ht="25.5" x14ac:dyDescent="0.25">
      <c r="A67" s="97" t="s">
        <v>82</v>
      </c>
      <c r="B67" s="85">
        <v>1074</v>
      </c>
      <c r="C67" s="261"/>
      <c r="D67" s="73">
        <v>0</v>
      </c>
      <c r="E67" s="91">
        <f t="shared" si="5"/>
        <v>0</v>
      </c>
      <c r="F67" s="83"/>
      <c r="G67" s="93"/>
      <c r="H67" s="314"/>
      <c r="I67" s="93"/>
      <c r="J67" s="65"/>
      <c r="K67" s="52"/>
      <c r="L67" s="137"/>
    </row>
    <row r="68" spans="1:23" ht="25.5" x14ac:dyDescent="0.25">
      <c r="A68" s="95" t="s">
        <v>42</v>
      </c>
      <c r="B68" s="85">
        <v>1075</v>
      </c>
      <c r="C68" s="86"/>
      <c r="D68" s="73">
        <v>0</v>
      </c>
      <c r="E68" s="91">
        <f t="shared" si="5"/>
        <v>0</v>
      </c>
      <c r="F68" s="83"/>
      <c r="G68" s="93"/>
      <c r="H68" s="314"/>
      <c r="I68" s="93"/>
      <c r="J68" s="65"/>
      <c r="K68" s="52"/>
      <c r="L68" s="137"/>
    </row>
    <row r="69" spans="1:23" ht="24.75" customHeight="1" x14ac:dyDescent="0.25">
      <c r="A69" s="95" t="s">
        <v>39</v>
      </c>
      <c r="B69" s="85">
        <v>1076</v>
      </c>
      <c r="C69" s="86"/>
      <c r="D69" s="73">
        <v>608.31799999999998</v>
      </c>
      <c r="E69" s="91">
        <f>F69+G69+H69+I69</f>
        <v>550</v>
      </c>
      <c r="F69" s="315">
        <v>116.2</v>
      </c>
      <c r="G69" s="93">
        <v>144.6</v>
      </c>
      <c r="H69" s="314">
        <v>144.6</v>
      </c>
      <c r="I69" s="93">
        <v>144.6</v>
      </c>
      <c r="J69" s="65" t="s">
        <v>496</v>
      </c>
      <c r="K69" s="52"/>
      <c r="L69" s="137"/>
    </row>
    <row r="70" spans="1:23" ht="14.65" customHeight="1" x14ac:dyDescent="0.25">
      <c r="A70" s="363" t="s">
        <v>107</v>
      </c>
      <c r="B70" s="363"/>
      <c r="C70" s="363"/>
      <c r="D70" s="363"/>
      <c r="E70" s="363"/>
      <c r="F70" s="363"/>
      <c r="G70" s="363"/>
      <c r="H70" s="363"/>
      <c r="I70" s="363"/>
      <c r="J70" s="363"/>
      <c r="L70" s="137"/>
    </row>
    <row r="71" spans="1:23" ht="25.5" x14ac:dyDescent="0.25">
      <c r="A71" s="98" t="s">
        <v>43</v>
      </c>
      <c r="B71" s="99">
        <v>1100</v>
      </c>
      <c r="C71" s="100">
        <f>C72+C81+C94+C103+C104</f>
        <v>65579.117889999994</v>
      </c>
      <c r="D71" s="100">
        <v>91501.992509999996</v>
      </c>
      <c r="E71" s="88">
        <f>E72+E81+E94+E103+E104</f>
        <v>104078.13799999999</v>
      </c>
      <c r="F71" s="100">
        <f t="shared" ref="F71:H71" si="7">F72+F81+F94+F103+F104</f>
        <v>29045.993000000002</v>
      </c>
      <c r="G71" s="100">
        <f t="shared" si="7"/>
        <v>27372.030999999999</v>
      </c>
      <c r="H71" s="100">
        <f t="shared" si="7"/>
        <v>23271.18</v>
      </c>
      <c r="I71" s="100">
        <f>I72+I81+I94+I103+I104</f>
        <v>24388.933999999997</v>
      </c>
      <c r="J71" s="65" t="s">
        <v>290</v>
      </c>
      <c r="K71" s="101"/>
      <c r="L71" s="137"/>
      <c r="M71" s="101"/>
      <c r="N71" s="50"/>
      <c r="O71" s="50"/>
      <c r="P71" s="50"/>
      <c r="Q71" s="50"/>
      <c r="R71" s="50"/>
      <c r="S71" s="50">
        <v>1</v>
      </c>
      <c r="T71" s="50">
        <v>2</v>
      </c>
      <c r="U71" s="50">
        <v>3</v>
      </c>
      <c r="V71" s="50">
        <v>4</v>
      </c>
      <c r="W71" s="50"/>
    </row>
    <row r="72" spans="1:23" x14ac:dyDescent="0.25">
      <c r="A72" s="223" t="s">
        <v>291</v>
      </c>
      <c r="B72" s="108">
        <v>1110</v>
      </c>
      <c r="C72" s="110">
        <f>C73+C75+C76+C77+C79+C80</f>
        <v>4317.5297799999998</v>
      </c>
      <c r="D72" s="110">
        <v>9051.5385100000003</v>
      </c>
      <c r="E72" s="110">
        <f>SUM(F72:I72)</f>
        <v>11356.458999999999</v>
      </c>
      <c r="F72" s="110">
        <f>F73+F75+F76+F77+F79+F80</f>
        <v>3064.6569999999997</v>
      </c>
      <c r="G72" s="110">
        <f>G73+G75+G76+G77+G79+G80</f>
        <v>2843.9250000000006</v>
      </c>
      <c r="H72" s="110">
        <f>H73+H75+H76+H77+H79+H80</f>
        <v>2836.5170000000003</v>
      </c>
      <c r="I72" s="110">
        <f>I73+I75+I76+I77+I79+I80</f>
        <v>2611.3599999999997</v>
      </c>
      <c r="J72" s="107" t="s">
        <v>292</v>
      </c>
      <c r="K72" s="101"/>
      <c r="L72" s="137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</row>
    <row r="73" spans="1:23" ht="25.5" x14ac:dyDescent="0.25">
      <c r="A73" s="224" t="s">
        <v>293</v>
      </c>
      <c r="B73" s="105">
        <v>1111</v>
      </c>
      <c r="C73" s="121">
        <v>2845.1490399999998</v>
      </c>
      <c r="D73" s="121">
        <v>5093.375</v>
      </c>
      <c r="E73" s="330">
        <f>F73+G73+H73+I73</f>
        <v>6472.7359999999999</v>
      </c>
      <c r="F73" s="121">
        <f>1239.598+375+64.629</f>
        <v>1679.2269999999999</v>
      </c>
      <c r="G73" s="121">
        <f>1239.598+375-25.163</f>
        <v>1589.4349999999999</v>
      </c>
      <c r="H73" s="121">
        <f>1239.598+375+44.476</f>
        <v>1659.0740000000001</v>
      </c>
      <c r="I73" s="121">
        <f>1239.597+375-69.597</f>
        <v>1545</v>
      </c>
      <c r="J73" s="107"/>
      <c r="K73" s="101"/>
      <c r="L73" s="137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</row>
    <row r="74" spans="1:23" x14ac:dyDescent="0.25">
      <c r="A74" s="224" t="s">
        <v>320</v>
      </c>
      <c r="B74" s="105" t="s">
        <v>319</v>
      </c>
      <c r="C74" s="121"/>
      <c r="D74" s="121">
        <v>0</v>
      </c>
      <c r="E74" s="121">
        <f>F74+G74+H74+I74</f>
        <v>0</v>
      </c>
      <c r="F74" s="121"/>
      <c r="G74" s="121"/>
      <c r="H74" s="121"/>
      <c r="I74" s="121"/>
      <c r="J74" s="107"/>
      <c r="L74" s="137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</row>
    <row r="75" spans="1:23" x14ac:dyDescent="0.25">
      <c r="A75" s="225" t="s">
        <v>84</v>
      </c>
      <c r="B75" s="105">
        <v>1112</v>
      </c>
      <c r="C75" s="121">
        <v>740.30875000000003</v>
      </c>
      <c r="D75" s="121">
        <v>2800</v>
      </c>
      <c r="E75" s="330">
        <f t="shared" ref="E75:E80" si="8">F75+G75+H75+I75</f>
        <v>3070.9169999999999</v>
      </c>
      <c r="F75" s="121">
        <f>798.93-28.318+41.883</f>
        <v>812.495</v>
      </c>
      <c r="G75" s="117">
        <f>744.6+18.45</f>
        <v>763.05000000000007</v>
      </c>
      <c r="H75" s="117">
        <f>798.95-48.116</f>
        <v>750.83400000000006</v>
      </c>
      <c r="I75" s="117">
        <f>744.662-0.124</f>
        <v>744.53800000000001</v>
      </c>
      <c r="J75" s="107"/>
      <c r="L75" s="137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</row>
    <row r="76" spans="1:23" ht="26.25" x14ac:dyDescent="0.25">
      <c r="A76" s="226" t="s">
        <v>294</v>
      </c>
      <c r="B76" s="105">
        <v>1113</v>
      </c>
      <c r="C76" s="121">
        <v>40.219000000000001</v>
      </c>
      <c r="D76" s="121">
        <v>147.74799999999999</v>
      </c>
      <c r="E76" s="121">
        <f t="shared" si="8"/>
        <v>147.74799999999999</v>
      </c>
      <c r="F76" s="237">
        <v>36.936999999999998</v>
      </c>
      <c r="G76" s="237">
        <v>36.936999999999998</v>
      </c>
      <c r="H76" s="237">
        <v>36.936999999999998</v>
      </c>
      <c r="I76" s="237">
        <v>36.936999999999998</v>
      </c>
      <c r="J76" s="107"/>
      <c r="L76" s="137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</row>
    <row r="77" spans="1:23" ht="26.25" x14ac:dyDescent="0.25">
      <c r="A77" s="227" t="s">
        <v>321</v>
      </c>
      <c r="B77" s="105">
        <v>1114</v>
      </c>
      <c r="C77" s="233">
        <v>556.85298999999998</v>
      </c>
      <c r="D77" s="233">
        <v>327.26651000000004</v>
      </c>
      <c r="E77" s="330">
        <f t="shared" si="8"/>
        <v>781.91</v>
      </c>
      <c r="F77" s="233">
        <f>F78</f>
        <v>308.28999999999996</v>
      </c>
      <c r="G77" s="233">
        <f t="shared" ref="G77:I77" si="9">G78</f>
        <v>227.11500000000001</v>
      </c>
      <c r="H77" s="233">
        <f t="shared" si="9"/>
        <v>175.63499999999999</v>
      </c>
      <c r="I77" s="233">
        <f t="shared" si="9"/>
        <v>70.87</v>
      </c>
      <c r="J77" s="107" t="s">
        <v>333</v>
      </c>
      <c r="L77" s="137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</row>
    <row r="78" spans="1:23" x14ac:dyDescent="0.25">
      <c r="A78" s="227" t="s">
        <v>323</v>
      </c>
      <c r="B78" s="105" t="s">
        <v>322</v>
      </c>
      <c r="C78" s="233">
        <v>122.35599999999999</v>
      </c>
      <c r="D78" s="233">
        <v>324.76651000000004</v>
      </c>
      <c r="E78" s="330">
        <f t="shared" si="8"/>
        <v>781.91</v>
      </c>
      <c r="F78" s="233">
        <f>200.825+107.465</f>
        <v>308.28999999999996</v>
      </c>
      <c r="G78" s="233">
        <f>180+47.115</f>
        <v>227.11500000000001</v>
      </c>
      <c r="H78" s="233">
        <f>180-4.365</f>
        <v>175.63499999999999</v>
      </c>
      <c r="I78" s="233">
        <f>55+6.335+100-90.465</f>
        <v>70.87</v>
      </c>
      <c r="J78" s="107"/>
      <c r="K78" s="281"/>
      <c r="L78" s="137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</row>
    <row r="79" spans="1:23" ht="26.25" x14ac:dyDescent="0.25">
      <c r="A79" s="226" t="s">
        <v>295</v>
      </c>
      <c r="B79" s="105">
        <v>1115</v>
      </c>
      <c r="C79" s="121">
        <v>135</v>
      </c>
      <c r="D79" s="121">
        <v>483.149</v>
      </c>
      <c r="E79" s="121">
        <f t="shared" si="8"/>
        <v>683.14900000000011</v>
      </c>
      <c r="F79" s="121">
        <f>13.67+114.038+50</f>
        <v>177.708</v>
      </c>
      <c r="G79" s="121">
        <f>114.037+13.33+50</f>
        <v>177.36700000000002</v>
      </c>
      <c r="H79" s="121">
        <f>114.037+50</f>
        <v>164.03700000000001</v>
      </c>
      <c r="I79" s="121">
        <f>114.037+50</f>
        <v>164.03700000000001</v>
      </c>
      <c r="J79" s="107"/>
      <c r="L79" s="137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</row>
    <row r="80" spans="1:23" x14ac:dyDescent="0.25">
      <c r="A80" s="226" t="s">
        <v>296</v>
      </c>
      <c r="B80" s="105">
        <v>1116</v>
      </c>
      <c r="C80" s="121"/>
      <c r="D80" s="121">
        <v>200</v>
      </c>
      <c r="E80" s="121">
        <f t="shared" si="8"/>
        <v>199.99900000000002</v>
      </c>
      <c r="F80" s="121">
        <v>50</v>
      </c>
      <c r="G80" s="117">
        <f>50+0.021</f>
        <v>50.021000000000001</v>
      </c>
      <c r="H80" s="117">
        <v>50</v>
      </c>
      <c r="I80" s="117">
        <f>50-0.022</f>
        <v>49.978000000000002</v>
      </c>
      <c r="J80" s="107"/>
      <c r="L80" s="137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</row>
    <row r="81" spans="1:23" ht="26.25" x14ac:dyDescent="0.25">
      <c r="A81" s="228" t="s">
        <v>44</v>
      </c>
      <c r="B81" s="124">
        <v>1120</v>
      </c>
      <c r="C81" s="103">
        <f>C82+C84+C86+C88+C90+C92</f>
        <v>10126.92094</v>
      </c>
      <c r="D81" s="103">
        <v>9770.9950000000008</v>
      </c>
      <c r="E81" s="103">
        <f>SUM(F81:I81)</f>
        <v>9975.5739999999987</v>
      </c>
      <c r="F81" s="103">
        <f>F82+F84+F86+F88+F90+F92</f>
        <v>4273.0649999999996</v>
      </c>
      <c r="G81" s="103">
        <f>G82+G84+G86+G88+G90+G92</f>
        <v>1358.655</v>
      </c>
      <c r="H81" s="103">
        <f>H82+H84+H86+H88+H90+H92</f>
        <v>1211.6400000000001</v>
      </c>
      <c r="I81" s="103">
        <f>I82+I84+I86+I88+I90+I92</f>
        <v>3132.2139999999995</v>
      </c>
      <c r="J81" s="107" t="s">
        <v>325</v>
      </c>
      <c r="L81" s="137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</row>
    <row r="82" spans="1:23" x14ac:dyDescent="0.25">
      <c r="A82" s="229" t="s">
        <v>297</v>
      </c>
      <c r="B82" s="105">
        <v>1121</v>
      </c>
      <c r="C82" s="121">
        <v>2674.3643299999999</v>
      </c>
      <c r="D82" s="121">
        <v>3726.5629999999996</v>
      </c>
      <c r="E82" s="331">
        <f t="shared" ref="E82:E93" si="10">SUM(F82:I82)</f>
        <v>3691.4119999999998</v>
      </c>
      <c r="F82" s="121">
        <v>1247.8530000000001</v>
      </c>
      <c r="G82" s="121">
        <f>747.853+214.22+200</f>
        <v>1162.0729999999999</v>
      </c>
      <c r="H82" s="121">
        <v>747.85299999999995</v>
      </c>
      <c r="I82" s="121">
        <f>747.853-214.22</f>
        <v>533.63299999999992</v>
      </c>
      <c r="J82" s="107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</row>
    <row r="83" spans="1:23" x14ac:dyDescent="0.25">
      <c r="A83" s="227" t="s">
        <v>298</v>
      </c>
      <c r="B83" s="105"/>
      <c r="C83" s="121"/>
      <c r="D83" s="121">
        <v>8</v>
      </c>
      <c r="E83" s="103">
        <f t="shared" si="10"/>
        <v>362.46600000000001</v>
      </c>
      <c r="F83" s="121">
        <v>100</v>
      </c>
      <c r="G83" s="121"/>
      <c r="H83" s="121"/>
      <c r="I83" s="121">
        <f>62.466+200</f>
        <v>262.46600000000001</v>
      </c>
      <c r="J83" s="107" t="s">
        <v>299</v>
      </c>
      <c r="L83" s="137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</row>
    <row r="84" spans="1:23" ht="26.25" x14ac:dyDescent="0.25">
      <c r="A84" s="229" t="s">
        <v>300</v>
      </c>
      <c r="B84" s="105">
        <v>1122</v>
      </c>
      <c r="C84" s="121">
        <v>710.42659000000003</v>
      </c>
      <c r="D84" s="121">
        <v>582.98</v>
      </c>
      <c r="E84" s="103">
        <f t="shared" si="10"/>
        <v>757.30199999999991</v>
      </c>
      <c r="F84" s="121">
        <v>189.32599999999999</v>
      </c>
      <c r="G84" s="121">
        <v>189.32599999999999</v>
      </c>
      <c r="H84" s="121">
        <v>189.32499999999999</v>
      </c>
      <c r="I84" s="121">
        <v>189.32499999999999</v>
      </c>
      <c r="J84" s="107"/>
      <c r="L84" s="137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</row>
    <row r="85" spans="1:23" x14ac:dyDescent="0.25">
      <c r="A85" s="227" t="s">
        <v>298</v>
      </c>
      <c r="B85" s="105"/>
      <c r="C85" s="121"/>
      <c r="D85" s="121">
        <v>4</v>
      </c>
      <c r="E85" s="103">
        <f t="shared" si="10"/>
        <v>0</v>
      </c>
      <c r="F85" s="237"/>
      <c r="G85" s="121"/>
      <c r="H85" s="121"/>
      <c r="I85" s="121"/>
      <c r="J85" s="107" t="s">
        <v>299</v>
      </c>
      <c r="L85" s="137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>
        <v>2710</v>
      </c>
    </row>
    <row r="86" spans="1:23" x14ac:dyDescent="0.25">
      <c r="A86" s="229" t="s">
        <v>45</v>
      </c>
      <c r="B86" s="105">
        <v>1123</v>
      </c>
      <c r="C86" s="121">
        <v>193.50031000000001</v>
      </c>
      <c r="D86" s="121">
        <v>442.19600000000003</v>
      </c>
      <c r="E86" s="103">
        <f t="shared" si="10"/>
        <v>448.185</v>
      </c>
      <c r="F86" s="121">
        <v>224.09299999999999</v>
      </c>
      <c r="G86" s="121">
        <v>0</v>
      </c>
      <c r="H86" s="121">
        <v>0</v>
      </c>
      <c r="I86" s="121">
        <v>224.09200000000001</v>
      </c>
      <c r="J86" s="107"/>
      <c r="L86" s="137"/>
      <c r="W86">
        <v>2730</v>
      </c>
    </row>
    <row r="87" spans="1:23" x14ac:dyDescent="0.25">
      <c r="A87" s="227" t="s">
        <v>298</v>
      </c>
      <c r="B87" s="105"/>
      <c r="C87" s="121"/>
      <c r="D87" s="121">
        <v>0</v>
      </c>
      <c r="E87" s="103">
        <f t="shared" si="10"/>
        <v>0</v>
      </c>
      <c r="F87" s="121"/>
      <c r="G87" s="121"/>
      <c r="H87" s="121"/>
      <c r="I87" s="121"/>
      <c r="J87" s="107" t="s">
        <v>299</v>
      </c>
      <c r="L87" s="137"/>
      <c r="W87">
        <v>2800</v>
      </c>
    </row>
    <row r="88" spans="1:23" ht="26.25" x14ac:dyDescent="0.25">
      <c r="A88" s="229" t="s">
        <v>301</v>
      </c>
      <c r="B88" s="105">
        <v>1124</v>
      </c>
      <c r="C88" s="264">
        <v>216.13489999999999</v>
      </c>
      <c r="D88" s="264">
        <v>464.97299999999996</v>
      </c>
      <c r="E88" s="103">
        <f t="shared" si="10"/>
        <v>534.41200000000003</v>
      </c>
      <c r="F88" s="121">
        <v>267.20600000000002</v>
      </c>
      <c r="G88" s="121"/>
      <c r="H88" s="121">
        <v>267.20600000000002</v>
      </c>
      <c r="I88" s="121"/>
      <c r="J88" s="107"/>
      <c r="L88" s="137"/>
      <c r="W88">
        <v>3000</v>
      </c>
    </row>
    <row r="89" spans="1:23" x14ac:dyDescent="0.25">
      <c r="A89" s="227" t="s">
        <v>298</v>
      </c>
      <c r="B89" s="105"/>
      <c r="C89" s="121"/>
      <c r="D89" s="121"/>
      <c r="E89" s="103"/>
      <c r="F89" s="121"/>
      <c r="G89" s="121"/>
      <c r="H89" s="121"/>
      <c r="I89" s="121"/>
      <c r="J89" s="107" t="s">
        <v>299</v>
      </c>
      <c r="L89" s="137"/>
      <c r="W89" t="s">
        <v>499</v>
      </c>
    </row>
    <row r="90" spans="1:23" x14ac:dyDescent="0.25">
      <c r="A90" s="229" t="s">
        <v>87</v>
      </c>
      <c r="B90" s="105">
        <v>1125</v>
      </c>
      <c r="C90" s="264">
        <v>6300.19481</v>
      </c>
      <c r="D90" s="264">
        <v>4528.3310000000001</v>
      </c>
      <c r="E90" s="103">
        <f t="shared" si="10"/>
        <v>4515.2379999999994</v>
      </c>
      <c r="F90" s="121">
        <v>2337.33</v>
      </c>
      <c r="G90" s="121"/>
      <c r="H90" s="121"/>
      <c r="I90" s="121">
        <f>1500+238.347+439.561</f>
        <v>2177.9079999999999</v>
      </c>
      <c r="J90" s="107"/>
      <c r="L90" s="137"/>
    </row>
    <row r="91" spans="1:23" x14ac:dyDescent="0.25">
      <c r="A91" s="227" t="s">
        <v>298</v>
      </c>
      <c r="B91" s="105"/>
      <c r="C91" s="264">
        <v>1224.5847100000001</v>
      </c>
      <c r="D91" s="264">
        <v>300</v>
      </c>
      <c r="E91" s="103">
        <f t="shared" si="10"/>
        <v>500</v>
      </c>
      <c r="F91" s="121">
        <v>200</v>
      </c>
      <c r="G91" s="121"/>
      <c r="H91" s="121"/>
      <c r="I91" s="121">
        <v>300</v>
      </c>
      <c r="J91" s="107" t="s">
        <v>299</v>
      </c>
      <c r="L91" s="137"/>
    </row>
    <row r="92" spans="1:23" x14ac:dyDescent="0.25">
      <c r="A92" s="230" t="s">
        <v>324</v>
      </c>
      <c r="B92" s="105">
        <v>1126</v>
      </c>
      <c r="C92" s="121">
        <v>32.299999999999997</v>
      </c>
      <c r="D92" s="121">
        <v>25.952000000000002</v>
      </c>
      <c r="E92" s="103">
        <f t="shared" si="10"/>
        <v>29.024999999999999</v>
      </c>
      <c r="F92" s="121">
        <v>7.2569999999999997</v>
      </c>
      <c r="G92" s="121">
        <v>7.2560000000000002</v>
      </c>
      <c r="H92" s="121">
        <v>7.2560000000000002</v>
      </c>
      <c r="I92" s="121">
        <v>7.2560000000000002</v>
      </c>
      <c r="J92" s="107"/>
      <c r="L92" s="137"/>
    </row>
    <row r="93" spans="1:23" x14ac:dyDescent="0.25">
      <c r="A93" s="227" t="s">
        <v>298</v>
      </c>
      <c r="B93" s="105"/>
      <c r="C93" s="121"/>
      <c r="D93" s="121">
        <v>4</v>
      </c>
      <c r="E93" s="103">
        <f t="shared" si="10"/>
        <v>0</v>
      </c>
      <c r="F93" s="121"/>
      <c r="G93" s="121"/>
      <c r="H93" s="121"/>
      <c r="I93" s="121"/>
      <c r="J93" s="107"/>
      <c r="L93" s="137"/>
    </row>
    <row r="94" spans="1:23" s="39" customFormat="1" ht="26.25" x14ac:dyDescent="0.25">
      <c r="A94" s="231" t="s">
        <v>302</v>
      </c>
      <c r="B94" s="124">
        <v>1130</v>
      </c>
      <c r="C94" s="103">
        <v>3478.1797499999998</v>
      </c>
      <c r="D94" s="103">
        <v>9500.755000000001</v>
      </c>
      <c r="E94" s="103">
        <f>SUM(F94:I94)</f>
        <v>12072.749</v>
      </c>
      <c r="F94" s="103">
        <f>F95+F96+F97+F98+F99+F100+F101+F102</f>
        <v>3460.7779999999998</v>
      </c>
      <c r="G94" s="103">
        <f>G95+G96+G97+G98+G99+G100+G101+G102</f>
        <v>5104.7130000000006</v>
      </c>
      <c r="H94" s="103">
        <f>H95+H96+H97+H98+H99+H100+H101+H102</f>
        <v>2201.808</v>
      </c>
      <c r="I94" s="103">
        <f>I95+I96+I97+I98+I99+I100+I101+I102</f>
        <v>1305.45</v>
      </c>
      <c r="J94" s="107" t="s">
        <v>380</v>
      </c>
      <c r="L94" s="289"/>
    </row>
    <row r="95" spans="1:23" ht="115.5" x14ac:dyDescent="0.25">
      <c r="A95" s="232" t="s">
        <v>303</v>
      </c>
      <c r="B95" s="238">
        <v>1131</v>
      </c>
      <c r="C95" s="121">
        <v>3444.1846099999998</v>
      </c>
      <c r="D95" s="121">
        <v>9033.4269999999997</v>
      </c>
      <c r="E95" s="332">
        <f>F95+G95+H95+I95</f>
        <v>11297.800000000001</v>
      </c>
      <c r="F95" s="121">
        <f>760+384.175+2025+30+78.45</f>
        <v>3277.625</v>
      </c>
      <c r="G95" s="121">
        <f>760+284.173+3831.877+30+3.85</f>
        <v>4909.9000000000005</v>
      </c>
      <c r="H95" s="121">
        <f>714.25+1000+284.173+30-26.15</f>
        <v>2002.2729999999999</v>
      </c>
      <c r="I95" s="121">
        <f>260.511+1000+284.173+29.029-439.561-26.15</f>
        <v>1108.002</v>
      </c>
      <c r="J95" s="107"/>
      <c r="K95" s="282"/>
      <c r="L95" s="137"/>
    </row>
    <row r="96" spans="1:23" x14ac:dyDescent="0.25">
      <c r="A96" s="232" t="s">
        <v>329</v>
      </c>
      <c r="B96" s="238">
        <v>1132</v>
      </c>
      <c r="C96" s="121"/>
      <c r="D96" s="121">
        <v>80</v>
      </c>
      <c r="E96" s="103">
        <f>F96+G96+H96+I96</f>
        <v>87.6</v>
      </c>
      <c r="F96" s="121">
        <v>27.6</v>
      </c>
      <c r="G96" s="121">
        <v>20</v>
      </c>
      <c r="H96" s="121">
        <v>20</v>
      </c>
      <c r="I96" s="121">
        <v>20</v>
      </c>
      <c r="J96" s="107"/>
      <c r="K96" s="282"/>
      <c r="L96" s="137"/>
    </row>
    <row r="97" spans="1:15" x14ac:dyDescent="0.25">
      <c r="A97" s="232" t="s">
        <v>304</v>
      </c>
      <c r="B97" s="238">
        <v>1133</v>
      </c>
      <c r="C97" s="121"/>
      <c r="D97" s="121"/>
      <c r="E97" s="103"/>
      <c r="F97" s="121"/>
      <c r="G97" s="121"/>
      <c r="H97" s="121"/>
      <c r="I97" s="121"/>
      <c r="J97" s="107"/>
      <c r="K97" s="282"/>
      <c r="L97" s="137"/>
    </row>
    <row r="98" spans="1:15" x14ac:dyDescent="0.25">
      <c r="A98" s="120" t="s">
        <v>305</v>
      </c>
      <c r="B98" s="238">
        <v>1134</v>
      </c>
      <c r="C98" s="121">
        <v>33.995139999999999</v>
      </c>
      <c r="D98" s="121">
        <v>72</v>
      </c>
      <c r="E98" s="103">
        <f>F98+G98+H98+I98</f>
        <v>180</v>
      </c>
      <c r="F98" s="121">
        <v>45</v>
      </c>
      <c r="G98" s="121">
        <v>45</v>
      </c>
      <c r="H98" s="121">
        <v>45</v>
      </c>
      <c r="I98" s="121">
        <v>45</v>
      </c>
      <c r="J98" s="107"/>
      <c r="K98" s="282"/>
      <c r="L98" s="137"/>
    </row>
    <row r="99" spans="1:15" x14ac:dyDescent="0.25">
      <c r="A99" s="21" t="s">
        <v>326</v>
      </c>
      <c r="B99" s="238">
        <v>1135</v>
      </c>
      <c r="C99" s="121"/>
      <c r="D99" s="121">
        <v>315.32799999999997</v>
      </c>
      <c r="E99" s="103">
        <f>F99+G99+H99+I99</f>
        <v>507.34899999999993</v>
      </c>
      <c r="F99" s="121">
        <f>121.562-11.009</f>
        <v>110.553</v>
      </c>
      <c r="G99" s="121">
        <f>121.563+8.25</f>
        <v>129.81299999999999</v>
      </c>
      <c r="H99" s="121">
        <f>121.563+12.972</f>
        <v>134.535</v>
      </c>
      <c r="I99" s="121">
        <f>121.563+10.885</f>
        <v>132.44800000000001</v>
      </c>
      <c r="J99" s="107"/>
      <c r="K99" s="282"/>
      <c r="L99" s="137"/>
    </row>
    <row r="100" spans="1:15" x14ac:dyDescent="0.25">
      <c r="A100" s="232" t="s">
        <v>327</v>
      </c>
      <c r="B100" s="238">
        <v>1136</v>
      </c>
      <c r="C100" s="121"/>
      <c r="D100" s="121"/>
      <c r="E100" s="103"/>
      <c r="F100" s="121"/>
      <c r="G100" s="121"/>
      <c r="H100" s="121"/>
      <c r="I100" s="121"/>
      <c r="J100" s="107"/>
      <c r="K100" s="282"/>
      <c r="L100" s="137"/>
    </row>
    <row r="101" spans="1:15" ht="25.5" x14ac:dyDescent="0.25">
      <c r="A101" s="120" t="s">
        <v>328</v>
      </c>
      <c r="B101" s="238">
        <v>1137</v>
      </c>
      <c r="C101" s="121"/>
      <c r="D101" s="121"/>
      <c r="E101" s="103"/>
      <c r="F101" s="121"/>
      <c r="G101" s="121"/>
      <c r="H101" s="121"/>
      <c r="I101" s="121"/>
      <c r="J101" s="107"/>
      <c r="K101" s="282"/>
      <c r="L101" s="137"/>
    </row>
    <row r="102" spans="1:15" x14ac:dyDescent="0.25">
      <c r="A102" s="21" t="s">
        <v>306</v>
      </c>
      <c r="B102" s="238">
        <v>1138</v>
      </c>
      <c r="C102" s="121"/>
      <c r="D102" s="121"/>
      <c r="E102" s="103"/>
      <c r="F102" s="121"/>
      <c r="G102" s="121"/>
      <c r="H102" s="121"/>
      <c r="I102" s="121"/>
      <c r="J102" s="107"/>
      <c r="K102" s="282"/>
      <c r="L102" s="137"/>
    </row>
    <row r="103" spans="1:15" s="39" customFormat="1" x14ac:dyDescent="0.25">
      <c r="A103" s="228" t="s">
        <v>46</v>
      </c>
      <c r="B103" s="124">
        <v>1140</v>
      </c>
      <c r="C103" s="103">
        <v>39083.084150000002</v>
      </c>
      <c r="D103" s="103">
        <v>51706.146999999997</v>
      </c>
      <c r="E103" s="333">
        <f>F103+G103+H103+I103</f>
        <v>57928.649999999994</v>
      </c>
      <c r="F103" s="103">
        <f>12572.53+250+9.553+2008.674+102.009</f>
        <v>14942.766000000001</v>
      </c>
      <c r="G103" s="103">
        <f>12572.55+250+2008.674-35.476</f>
        <v>14795.747999999998</v>
      </c>
      <c r="H103" s="103">
        <f>12572.553+250-0.003+2008.674-862.939-33.293</f>
        <v>13934.991999999998</v>
      </c>
      <c r="I103" s="103">
        <f>12901.76+250-9.553+2009.116-862.939-33.24</f>
        <v>14255.144</v>
      </c>
      <c r="J103" s="103"/>
      <c r="L103" s="137"/>
      <c r="N103"/>
    </row>
    <row r="104" spans="1:15" s="39" customFormat="1" x14ac:dyDescent="0.25">
      <c r="A104" s="228" t="s">
        <v>47</v>
      </c>
      <c r="B104" s="124">
        <v>1150</v>
      </c>
      <c r="C104" s="103">
        <v>8573.4032700000007</v>
      </c>
      <c r="D104" s="103">
        <v>11472.557000000001</v>
      </c>
      <c r="E104" s="333">
        <f>F104+G104+H104+I104</f>
        <v>12744.706</v>
      </c>
      <c r="F104" s="103">
        <f>2786.317+50+2.103+441.909+24.398</f>
        <v>3304.7270000000003</v>
      </c>
      <c r="G104" s="103">
        <f>2786.317+50+441.909-9.236</f>
        <v>3268.9900000000002</v>
      </c>
      <c r="H104" s="103">
        <f>2786.317+50+441.909-184.447-7.556</f>
        <v>3086.223</v>
      </c>
      <c r="I104" s="103">
        <f>2786.316+50-2.103+442.606-184.447-7.606</f>
        <v>3084.7659999999992</v>
      </c>
      <c r="J104" s="103"/>
      <c r="L104" s="137"/>
      <c r="N104"/>
    </row>
    <row r="105" spans="1:15" x14ac:dyDescent="0.25">
      <c r="A105" s="355" t="s">
        <v>26</v>
      </c>
      <c r="B105" s="356" t="s">
        <v>27</v>
      </c>
      <c r="C105" s="357" t="s">
        <v>503</v>
      </c>
      <c r="D105" s="356" t="s">
        <v>504</v>
      </c>
      <c r="E105" s="358" t="s">
        <v>28</v>
      </c>
      <c r="F105" s="358" t="s">
        <v>29</v>
      </c>
      <c r="G105" s="358"/>
      <c r="H105" s="358"/>
      <c r="I105" s="358"/>
      <c r="J105" s="359" t="s">
        <v>30</v>
      </c>
      <c r="L105" s="137"/>
    </row>
    <row r="106" spans="1:15" ht="25.5" customHeight="1" x14ac:dyDescent="0.25">
      <c r="A106" s="355"/>
      <c r="B106" s="356"/>
      <c r="C106" s="357"/>
      <c r="D106" s="356"/>
      <c r="E106" s="358"/>
      <c r="F106" s="102" t="s">
        <v>31</v>
      </c>
      <c r="G106" s="102" t="s">
        <v>32</v>
      </c>
      <c r="H106" s="102" t="s">
        <v>33</v>
      </c>
      <c r="I106" s="102" t="s">
        <v>34</v>
      </c>
      <c r="J106" s="359"/>
      <c r="L106" s="137"/>
    </row>
    <row r="107" spans="1:15" x14ac:dyDescent="0.25">
      <c r="A107" s="41">
        <v>1</v>
      </c>
      <c r="B107" s="42">
        <v>2</v>
      </c>
      <c r="C107" s="64"/>
      <c r="D107" s="42">
        <v>3</v>
      </c>
      <c r="E107" s="45">
        <v>4</v>
      </c>
      <c r="F107" s="45">
        <v>5</v>
      </c>
      <c r="G107" s="45">
        <v>6</v>
      </c>
      <c r="H107" s="45">
        <v>7</v>
      </c>
      <c r="I107" s="45">
        <v>8</v>
      </c>
      <c r="J107" s="65" t="s">
        <v>263</v>
      </c>
    </row>
    <row r="108" spans="1:15" x14ac:dyDescent="0.25">
      <c r="A108" s="239" t="s">
        <v>180</v>
      </c>
      <c r="B108" s="240">
        <v>1300</v>
      </c>
      <c r="C108" s="241">
        <v>11218.679169999999</v>
      </c>
      <c r="D108" s="241">
        <v>12929.870999999999</v>
      </c>
      <c r="E108" s="241">
        <f t="shared" ref="E108:E114" si="11">F108+G108+H108+I108</f>
        <v>13767.087</v>
      </c>
      <c r="F108" s="241">
        <f>F109+F114+F122+F123+F124</f>
        <v>4594.6879999999992</v>
      </c>
      <c r="G108" s="241">
        <f>G109+G114+G122+G123+G124</f>
        <v>4132.4660000000003</v>
      </c>
      <c r="H108" s="103">
        <f>H109+H114+H122+H123+H124</f>
        <v>2726.0050000000001</v>
      </c>
      <c r="I108" s="241">
        <f>I109+I114+I122+I123+I124</f>
        <v>2313.9279999999999</v>
      </c>
      <c r="J108" s="242" t="s">
        <v>307</v>
      </c>
      <c r="K108" s="101"/>
      <c r="L108" s="101"/>
      <c r="M108" s="101"/>
      <c r="N108" s="101"/>
    </row>
    <row r="109" spans="1:15" x14ac:dyDescent="0.25">
      <c r="A109" s="223" t="s">
        <v>308</v>
      </c>
      <c r="B109" s="124">
        <v>1310</v>
      </c>
      <c r="C109" s="103">
        <v>245.98867000000001</v>
      </c>
      <c r="D109" s="103">
        <v>1328.8029999999999</v>
      </c>
      <c r="E109" s="103">
        <f t="shared" si="11"/>
        <v>1248.8029999999999</v>
      </c>
      <c r="F109" s="103">
        <f>F110+F111+F112</f>
        <v>296</v>
      </c>
      <c r="G109" s="103">
        <f>G110+G111+G112</f>
        <v>395</v>
      </c>
      <c r="H109" s="103">
        <f>H110+H111+H112</f>
        <v>295</v>
      </c>
      <c r="I109" s="103">
        <f>I110+I111+I112</f>
        <v>262.803</v>
      </c>
      <c r="J109" s="107" t="s">
        <v>309</v>
      </c>
    </row>
    <row r="110" spans="1:15" ht="51" x14ac:dyDescent="0.25">
      <c r="A110" s="21" t="s">
        <v>310</v>
      </c>
      <c r="B110" s="105">
        <v>1311</v>
      </c>
      <c r="C110" s="233">
        <v>153.98867000000001</v>
      </c>
      <c r="D110" s="233">
        <v>867.125</v>
      </c>
      <c r="E110" s="103">
        <f t="shared" si="11"/>
        <v>867.125</v>
      </c>
      <c r="F110" s="233">
        <v>200</v>
      </c>
      <c r="G110" s="233">
        <v>300</v>
      </c>
      <c r="H110" s="233">
        <v>200</v>
      </c>
      <c r="I110" s="233">
        <v>167.125</v>
      </c>
      <c r="J110" s="107"/>
      <c r="O110" s="101"/>
    </row>
    <row r="111" spans="1:15" ht="39" x14ac:dyDescent="0.25">
      <c r="A111" s="232" t="s">
        <v>311</v>
      </c>
      <c r="B111" s="105">
        <v>1312</v>
      </c>
      <c r="C111" s="121">
        <v>139.5</v>
      </c>
      <c r="D111" s="121">
        <v>21.678000000000001</v>
      </c>
      <c r="E111" s="103">
        <f t="shared" si="11"/>
        <v>21.678000000000001</v>
      </c>
      <c r="F111" s="121">
        <v>6</v>
      </c>
      <c r="G111" s="121">
        <v>5</v>
      </c>
      <c r="H111" s="121">
        <v>5</v>
      </c>
      <c r="I111" s="121">
        <v>5.6779999999999999</v>
      </c>
      <c r="J111" s="121"/>
    </row>
    <row r="112" spans="1:15" ht="30" customHeight="1" x14ac:dyDescent="0.25">
      <c r="A112" s="235" t="s">
        <v>330</v>
      </c>
      <c r="B112" s="105">
        <v>1313</v>
      </c>
      <c r="C112" s="121">
        <v>92</v>
      </c>
      <c r="D112" s="121">
        <v>440</v>
      </c>
      <c r="E112" s="103">
        <f t="shared" si="11"/>
        <v>360</v>
      </c>
      <c r="F112" s="121">
        <v>90</v>
      </c>
      <c r="G112" s="121">
        <v>90</v>
      </c>
      <c r="H112" s="121">
        <v>90</v>
      </c>
      <c r="I112" s="121">
        <v>90</v>
      </c>
      <c r="J112" s="107" t="s">
        <v>334</v>
      </c>
    </row>
    <row r="113" spans="1:13" x14ac:dyDescent="0.25">
      <c r="A113" s="227" t="s">
        <v>323</v>
      </c>
      <c r="B113" s="105" t="s">
        <v>331</v>
      </c>
      <c r="C113" s="121">
        <v>46.65</v>
      </c>
      <c r="D113" s="121">
        <v>120</v>
      </c>
      <c r="E113" s="103">
        <f t="shared" si="11"/>
        <v>120</v>
      </c>
      <c r="F113" s="121">
        <v>30</v>
      </c>
      <c r="G113" s="121">
        <v>30</v>
      </c>
      <c r="H113" s="121">
        <v>30</v>
      </c>
      <c r="I113" s="121">
        <v>30</v>
      </c>
      <c r="J113" s="107"/>
    </row>
    <row r="114" spans="1:13" ht="30" customHeight="1" x14ac:dyDescent="0.25">
      <c r="A114" s="231" t="s">
        <v>302</v>
      </c>
      <c r="B114" s="124">
        <v>1320</v>
      </c>
      <c r="C114" s="103">
        <v>304</v>
      </c>
      <c r="D114" s="103">
        <v>616.41399999999999</v>
      </c>
      <c r="E114" s="103">
        <f t="shared" si="11"/>
        <v>816.41399999999999</v>
      </c>
      <c r="F114" s="103">
        <f>F115+F117+F118+F120</f>
        <v>216.41399999999999</v>
      </c>
      <c r="G114" s="103">
        <f t="shared" ref="G114:I114" si="12">G115+G117+G118+G120</f>
        <v>200</v>
      </c>
      <c r="H114" s="103">
        <f t="shared" si="12"/>
        <v>200</v>
      </c>
      <c r="I114" s="103">
        <f t="shared" si="12"/>
        <v>200</v>
      </c>
      <c r="J114" s="107" t="s">
        <v>332</v>
      </c>
      <c r="K114" s="101"/>
    </row>
    <row r="115" spans="1:13" x14ac:dyDescent="0.25">
      <c r="A115" s="236" t="s">
        <v>329</v>
      </c>
      <c r="B115" s="105">
        <v>1321</v>
      </c>
      <c r="C115" s="234"/>
      <c r="D115" s="234">
        <v>40</v>
      </c>
      <c r="E115" s="103">
        <f t="shared" ref="E115:E121" si="13">F115+G115+H115+I115</f>
        <v>40</v>
      </c>
      <c r="F115" s="121">
        <v>10</v>
      </c>
      <c r="G115" s="121">
        <v>10</v>
      </c>
      <c r="H115" s="121">
        <v>10</v>
      </c>
      <c r="I115" s="121">
        <v>10</v>
      </c>
      <c r="J115" s="107"/>
    </row>
    <row r="116" spans="1:13" x14ac:dyDescent="0.25">
      <c r="A116" s="229" t="s">
        <v>48</v>
      </c>
      <c r="B116" s="105">
        <v>1322</v>
      </c>
      <c r="C116" s="121"/>
      <c r="D116" s="121">
        <v>0</v>
      </c>
      <c r="E116" s="103">
        <f t="shared" si="13"/>
        <v>0</v>
      </c>
      <c r="F116" s="121"/>
      <c r="G116" s="121"/>
      <c r="H116" s="121"/>
      <c r="I116" s="121"/>
      <c r="J116" s="107"/>
    </row>
    <row r="117" spans="1:13" x14ac:dyDescent="0.25">
      <c r="A117" s="229" t="s">
        <v>49</v>
      </c>
      <c r="B117" s="105">
        <v>1323</v>
      </c>
      <c r="C117" s="121">
        <v>37.217849999999999</v>
      </c>
      <c r="D117" s="121">
        <v>40</v>
      </c>
      <c r="E117" s="103">
        <f t="shared" si="13"/>
        <v>40</v>
      </c>
      <c r="F117" s="121">
        <v>10</v>
      </c>
      <c r="G117" s="121">
        <v>10</v>
      </c>
      <c r="H117" s="121">
        <v>10</v>
      </c>
      <c r="I117" s="121">
        <v>10</v>
      </c>
      <c r="J117" s="107"/>
    </row>
    <row r="118" spans="1:13" ht="26.25" x14ac:dyDescent="0.25">
      <c r="A118" s="229" t="s">
        <v>51</v>
      </c>
      <c r="B118" s="105">
        <v>1324</v>
      </c>
      <c r="C118" s="121">
        <v>27.58</v>
      </c>
      <c r="D118" s="121">
        <v>120</v>
      </c>
      <c r="E118" s="103">
        <f t="shared" si="13"/>
        <v>120</v>
      </c>
      <c r="F118" s="121">
        <v>30</v>
      </c>
      <c r="G118" s="121">
        <v>30</v>
      </c>
      <c r="H118" s="121">
        <v>30</v>
      </c>
      <c r="I118" s="121">
        <v>30</v>
      </c>
      <c r="J118" s="107"/>
    </row>
    <row r="119" spans="1:13" x14ac:dyDescent="0.25">
      <c r="A119" s="229" t="s">
        <v>50</v>
      </c>
      <c r="B119" s="105">
        <v>1325</v>
      </c>
      <c r="C119" s="121"/>
      <c r="D119" s="121">
        <v>0</v>
      </c>
      <c r="E119" s="103">
        <f t="shared" si="13"/>
        <v>0</v>
      </c>
      <c r="F119" s="121"/>
      <c r="G119" s="121"/>
      <c r="H119" s="121"/>
      <c r="I119" s="121"/>
      <c r="J119" s="107"/>
    </row>
    <row r="120" spans="1:13" x14ac:dyDescent="0.25">
      <c r="A120" s="229" t="s">
        <v>306</v>
      </c>
      <c r="B120" s="105">
        <v>1326</v>
      </c>
      <c r="C120" s="121">
        <v>239.65199999999999</v>
      </c>
      <c r="D120" s="121">
        <v>416.41399999999999</v>
      </c>
      <c r="E120" s="103">
        <f t="shared" si="13"/>
        <v>616.41399999999999</v>
      </c>
      <c r="F120" s="121">
        <v>166.41399999999999</v>
      </c>
      <c r="G120" s="121">
        <f>G121</f>
        <v>150</v>
      </c>
      <c r="H120" s="121">
        <f>H121</f>
        <v>150</v>
      </c>
      <c r="I120" s="121">
        <f>I121</f>
        <v>150</v>
      </c>
      <c r="J120" s="107"/>
    </row>
    <row r="121" spans="1:13" ht="26.25" x14ac:dyDescent="0.25">
      <c r="A121" s="229" t="s">
        <v>362</v>
      </c>
      <c r="B121" s="105" t="s">
        <v>361</v>
      </c>
      <c r="C121" s="121">
        <v>154.5</v>
      </c>
      <c r="D121" s="121">
        <v>400</v>
      </c>
      <c r="E121" s="103">
        <f t="shared" si="13"/>
        <v>600</v>
      </c>
      <c r="F121" s="121">
        <v>150</v>
      </c>
      <c r="G121" s="121">
        <v>150</v>
      </c>
      <c r="H121" s="121">
        <v>150</v>
      </c>
      <c r="I121" s="121">
        <v>150</v>
      </c>
      <c r="J121" s="107"/>
    </row>
    <row r="122" spans="1:13" ht="26.25" x14ac:dyDescent="0.25">
      <c r="A122" s="231" t="s">
        <v>179</v>
      </c>
      <c r="B122" s="124">
        <v>1330</v>
      </c>
      <c r="C122" s="121">
        <v>3637.52</v>
      </c>
      <c r="D122" s="121">
        <v>3860.748</v>
      </c>
      <c r="E122" s="121">
        <f>F122+G122+H122+I122</f>
        <v>4476.6469999999999</v>
      </c>
      <c r="F122" s="121">
        <f>1554.609-392.087+140.5+996.637</f>
        <v>2299.6589999999997</v>
      </c>
      <c r="G122" s="121">
        <f>655.017+815.988+140.5+143.35</f>
        <v>1754.855</v>
      </c>
      <c r="H122" s="121">
        <f>422.531+177.964+140.5-339.987</f>
        <v>401.00799999999998</v>
      </c>
      <c r="I122" s="121">
        <f>655.016+25.582+140.527-800</f>
        <v>21.125</v>
      </c>
      <c r="J122" s="107"/>
      <c r="K122" s="282"/>
    </row>
    <row r="123" spans="1:13" x14ac:dyDescent="0.25">
      <c r="A123" s="228" t="s">
        <v>46</v>
      </c>
      <c r="B123" s="124">
        <v>1340</v>
      </c>
      <c r="C123" s="121">
        <v>5800.2</v>
      </c>
      <c r="D123" s="121">
        <v>5839.2659999999996</v>
      </c>
      <c r="E123" s="121">
        <f>F123+G123+H123+I123</f>
        <v>5914.1170000000002</v>
      </c>
      <c r="F123" s="121">
        <f>1459.818+247.243+0.001-250</f>
        <v>1457.0619999999999</v>
      </c>
      <c r="G123" s="121">
        <f>1459.816+247.242-250</f>
        <v>1457.058</v>
      </c>
      <c r="H123" s="121">
        <f>1707.058-250-820+862.939</f>
        <v>1499.9969999999998</v>
      </c>
      <c r="I123" s="121">
        <f>1707.061-250-820+862.939</f>
        <v>1500</v>
      </c>
      <c r="J123" s="107"/>
      <c r="K123" s="282"/>
    </row>
    <row r="124" spans="1:13" x14ac:dyDescent="0.25">
      <c r="A124" s="228" t="s">
        <v>47</v>
      </c>
      <c r="B124" s="124">
        <v>1350</v>
      </c>
      <c r="C124" s="121">
        <v>1230.5206499999999</v>
      </c>
      <c r="D124" s="121">
        <v>1284.6400000000001</v>
      </c>
      <c r="E124" s="121">
        <f>F124+G124+H124+I124</f>
        <v>1311.106</v>
      </c>
      <c r="F124" s="121">
        <f>375.553-50</f>
        <v>325.553</v>
      </c>
      <c r="G124" s="121">
        <f>375.553-50</f>
        <v>325.553</v>
      </c>
      <c r="H124" s="121">
        <f>325.553-180+184.447</f>
        <v>330</v>
      </c>
      <c r="I124" s="121">
        <f>325.553-180+184.447</f>
        <v>330</v>
      </c>
      <c r="J124" s="107"/>
      <c r="K124" s="283"/>
      <c r="L124" s="328"/>
      <c r="M124" s="328"/>
    </row>
    <row r="125" spans="1:13" x14ac:dyDescent="0.25">
      <c r="A125" s="104"/>
      <c r="B125" s="105"/>
      <c r="C125" s="119"/>
      <c r="D125" s="104"/>
      <c r="E125" s="104"/>
      <c r="F125" s="104"/>
      <c r="G125" s="104"/>
      <c r="H125" s="104"/>
      <c r="I125" s="104"/>
      <c r="J125" s="107"/>
    </row>
    <row r="126" spans="1:13" x14ac:dyDescent="0.25">
      <c r="A126" s="365" t="s">
        <v>26</v>
      </c>
      <c r="B126" s="358" t="s">
        <v>27</v>
      </c>
      <c r="C126" s="366" t="s">
        <v>503</v>
      </c>
      <c r="D126" s="358" t="s">
        <v>504</v>
      </c>
      <c r="E126" s="358" t="s">
        <v>28</v>
      </c>
      <c r="F126" s="358" t="s">
        <v>29</v>
      </c>
      <c r="G126" s="358"/>
      <c r="H126" s="358"/>
      <c r="I126" s="358"/>
      <c r="J126" s="364" t="s">
        <v>30</v>
      </c>
    </row>
    <row r="127" spans="1:13" ht="27" customHeight="1" x14ac:dyDescent="0.25">
      <c r="A127" s="365"/>
      <c r="B127" s="358"/>
      <c r="C127" s="366"/>
      <c r="D127" s="358"/>
      <c r="E127" s="358"/>
      <c r="F127" s="102" t="s">
        <v>31</v>
      </c>
      <c r="G127" s="102" t="s">
        <v>32</v>
      </c>
      <c r="H127" s="102" t="s">
        <v>33</v>
      </c>
      <c r="I127" s="102" t="s">
        <v>34</v>
      </c>
      <c r="J127" s="364"/>
    </row>
    <row r="128" spans="1:13" x14ac:dyDescent="0.25">
      <c r="A128" s="329">
        <v>1</v>
      </c>
      <c r="B128" s="45">
        <v>2</v>
      </c>
      <c r="C128" s="336"/>
      <c r="D128" s="45">
        <v>3</v>
      </c>
      <c r="E128" s="45">
        <v>4</v>
      </c>
      <c r="F128" s="45">
        <v>5</v>
      </c>
      <c r="G128" s="45">
        <v>6</v>
      </c>
      <c r="H128" s="45">
        <v>7</v>
      </c>
      <c r="I128" s="45">
        <v>8</v>
      </c>
      <c r="J128" s="287" t="s">
        <v>263</v>
      </c>
    </row>
    <row r="129" spans="1:14" ht="14.65" customHeight="1" x14ac:dyDescent="0.25">
      <c r="A129" s="367" t="s">
        <v>52</v>
      </c>
      <c r="B129" s="367"/>
      <c r="C129" s="367"/>
      <c r="D129" s="367"/>
      <c r="E129" s="367"/>
      <c r="F129" s="367"/>
      <c r="G129" s="367"/>
      <c r="H129" s="367"/>
      <c r="I129" s="367"/>
      <c r="J129" s="367"/>
    </row>
    <row r="130" spans="1:14" x14ac:dyDescent="0.25">
      <c r="A130" s="232" t="s">
        <v>53</v>
      </c>
      <c r="B130" s="107">
        <v>2000</v>
      </c>
      <c r="C130" s="121">
        <v>44883.284149999999</v>
      </c>
      <c r="D130" s="121">
        <v>57545.413</v>
      </c>
      <c r="E130" s="121">
        <f t="shared" ref="E130:E139" si="14">F130+G130+H130+I130</f>
        <v>63842.766999999993</v>
      </c>
      <c r="F130" s="121">
        <f>F103+F123</f>
        <v>16399.828000000001</v>
      </c>
      <c r="G130" s="121">
        <f>G103+G123</f>
        <v>16252.805999999997</v>
      </c>
      <c r="H130" s="121">
        <f>H103+H123</f>
        <v>15434.988999999998</v>
      </c>
      <c r="I130" s="121">
        <f>I103+I123</f>
        <v>15755.144</v>
      </c>
      <c r="J130" s="107" t="s">
        <v>312</v>
      </c>
      <c r="K130" s="101"/>
    </row>
    <row r="131" spans="1:14" ht="25.5" customHeight="1" x14ac:dyDescent="0.25">
      <c r="A131" s="118" t="s">
        <v>83</v>
      </c>
      <c r="B131" s="105">
        <v>2001</v>
      </c>
      <c r="C131" s="253">
        <v>2173.7500599999998</v>
      </c>
      <c r="D131" s="253">
        <v>3847.0519999999997</v>
      </c>
      <c r="E131" s="121">
        <f>F131+G131+H131+I131</f>
        <v>4162.7659999999996</v>
      </c>
      <c r="F131" s="91">
        <f>F49</f>
        <v>1152.2529999999999</v>
      </c>
      <c r="G131" s="91">
        <f t="shared" ref="G131:I131" si="15">G49</f>
        <v>1005.215</v>
      </c>
      <c r="H131" s="91">
        <f t="shared" si="15"/>
        <v>1007.399</v>
      </c>
      <c r="I131" s="91">
        <f t="shared" si="15"/>
        <v>997.899</v>
      </c>
      <c r="J131" s="107"/>
      <c r="K131" s="284"/>
    </row>
    <row r="132" spans="1:14" x14ac:dyDescent="0.25">
      <c r="A132" s="232" t="s">
        <v>47</v>
      </c>
      <c r="B132" s="107">
        <v>2010</v>
      </c>
      <c r="C132" s="254">
        <v>9803.9239199999993</v>
      </c>
      <c r="D132" s="121">
        <v>12757.197</v>
      </c>
      <c r="E132" s="121">
        <f t="shared" si="14"/>
        <v>14055.812</v>
      </c>
      <c r="F132" s="280">
        <f>F104+F124</f>
        <v>3630.28</v>
      </c>
      <c r="G132" s="280">
        <f>G104+G124</f>
        <v>3594.5430000000001</v>
      </c>
      <c r="H132" s="280">
        <f>H104+H124</f>
        <v>3416.223</v>
      </c>
      <c r="I132" s="280">
        <f>I104+I124</f>
        <v>3414.7659999999992</v>
      </c>
      <c r="J132" s="107" t="s">
        <v>379</v>
      </c>
    </row>
    <row r="133" spans="1:14" x14ac:dyDescent="0.25">
      <c r="A133" s="118" t="s">
        <v>83</v>
      </c>
      <c r="B133" s="112">
        <v>2011</v>
      </c>
      <c r="C133" s="255">
        <v>476.48271999999997</v>
      </c>
      <c r="D133" s="255">
        <v>855.55799999999999</v>
      </c>
      <c r="E133" s="114">
        <f t="shared" si="14"/>
        <v>915.81200000000001</v>
      </c>
      <c r="F133" s="114">
        <f>F53</f>
        <v>255.45400000000001</v>
      </c>
      <c r="G133" s="114">
        <f t="shared" ref="G133:I133" si="16">G53</f>
        <v>219.71700000000001</v>
      </c>
      <c r="H133" s="114">
        <f t="shared" si="16"/>
        <v>221.39699999999999</v>
      </c>
      <c r="I133" s="114">
        <f t="shared" si="16"/>
        <v>219.244</v>
      </c>
      <c r="J133" s="107"/>
    </row>
    <row r="134" spans="1:14" s="39" customFormat="1" x14ac:dyDescent="0.25">
      <c r="A134" s="232" t="s">
        <v>54</v>
      </c>
      <c r="B134" s="256">
        <v>2020</v>
      </c>
      <c r="C134" s="114">
        <v>4563.5184499999996</v>
      </c>
      <c r="D134" s="114">
        <v>10380.34151</v>
      </c>
      <c r="E134" s="114">
        <f t="shared" si="14"/>
        <v>12605.261999999999</v>
      </c>
      <c r="F134" s="114">
        <f>F72+F109</f>
        <v>3360.6569999999997</v>
      </c>
      <c r="G134" s="114">
        <f t="shared" ref="G134:I134" si="17">G72+G109</f>
        <v>3238.9250000000006</v>
      </c>
      <c r="H134" s="114">
        <f t="shared" si="17"/>
        <v>3131.5170000000003</v>
      </c>
      <c r="I134" s="114">
        <f t="shared" si="17"/>
        <v>2874.1629999999996</v>
      </c>
      <c r="J134" s="107" t="s">
        <v>314</v>
      </c>
      <c r="K134" s="339"/>
    </row>
    <row r="135" spans="1:14" s="39" customFormat="1" ht="15" customHeight="1" x14ac:dyDescent="0.25">
      <c r="A135" s="118" t="s">
        <v>83</v>
      </c>
      <c r="B135" s="112">
        <v>2021</v>
      </c>
      <c r="C135" s="114">
        <v>179.07039</v>
      </c>
      <c r="D135" s="114">
        <v>667.91151000000002</v>
      </c>
      <c r="E135" s="114">
        <f>F135+G135+H135+I135</f>
        <v>835.26199999999994</v>
      </c>
      <c r="F135" s="114">
        <f>F54+F55+F56</f>
        <v>428.39</v>
      </c>
      <c r="G135" s="114">
        <f t="shared" ref="G135:I135" si="18">G54+G55+G56</f>
        <v>200.465</v>
      </c>
      <c r="H135" s="114">
        <f t="shared" si="18"/>
        <v>206.40699999999998</v>
      </c>
      <c r="I135" s="114">
        <f t="shared" si="18"/>
        <v>0</v>
      </c>
      <c r="J135" s="107"/>
      <c r="K135" s="339"/>
    </row>
    <row r="136" spans="1:14" ht="26.25" x14ac:dyDescent="0.25">
      <c r="A136" s="232" t="s">
        <v>179</v>
      </c>
      <c r="B136" s="256">
        <v>2030</v>
      </c>
      <c r="C136" s="114">
        <v>13764.44094</v>
      </c>
      <c r="D136" s="114">
        <v>13631.743000000002</v>
      </c>
      <c r="E136" s="114">
        <f t="shared" si="14"/>
        <v>14452.221000000001</v>
      </c>
      <c r="F136" s="114">
        <f>F81+F122</f>
        <v>6572.7239999999993</v>
      </c>
      <c r="G136" s="114">
        <f>G81+G122</f>
        <v>3113.51</v>
      </c>
      <c r="H136" s="114">
        <f>H81+H122</f>
        <v>1612.6480000000001</v>
      </c>
      <c r="I136" s="114">
        <f>I81+I122</f>
        <v>3153.3389999999995</v>
      </c>
      <c r="J136" s="107" t="s">
        <v>315</v>
      </c>
      <c r="K136" s="101"/>
    </row>
    <row r="137" spans="1:14" x14ac:dyDescent="0.25">
      <c r="A137" s="118" t="s">
        <v>83</v>
      </c>
      <c r="B137" s="112">
        <v>2031</v>
      </c>
      <c r="C137" s="255">
        <v>8689.1696699999993</v>
      </c>
      <c r="D137" s="255">
        <v>12554.003000000001</v>
      </c>
      <c r="E137" s="114">
        <f t="shared" si="14"/>
        <v>13450.194</v>
      </c>
      <c r="F137" s="258">
        <f>F48</f>
        <v>6441.4859999999999</v>
      </c>
      <c r="G137" s="258">
        <f t="shared" ref="G137:I137" si="19">G48</f>
        <v>2833.261</v>
      </c>
      <c r="H137" s="258">
        <f t="shared" si="19"/>
        <v>1350.8530000000001</v>
      </c>
      <c r="I137" s="258">
        <f t="shared" si="19"/>
        <v>2824.5940000000001</v>
      </c>
      <c r="J137" s="107"/>
      <c r="K137" s="101"/>
    </row>
    <row r="138" spans="1:14" x14ac:dyDescent="0.25">
      <c r="A138" s="232" t="s">
        <v>55</v>
      </c>
      <c r="B138" s="256">
        <v>2040</v>
      </c>
      <c r="C138" s="114">
        <v>3782.6296000000002</v>
      </c>
      <c r="D138" s="114">
        <v>10117.169</v>
      </c>
      <c r="E138" s="114">
        <f t="shared" si="14"/>
        <v>12889.163</v>
      </c>
      <c r="F138" s="114">
        <f>F94+F114</f>
        <v>3677.192</v>
      </c>
      <c r="G138" s="114">
        <f>G94+G114</f>
        <v>5304.7130000000006</v>
      </c>
      <c r="H138" s="114">
        <f>H94+H114</f>
        <v>2401.808</v>
      </c>
      <c r="I138" s="114">
        <f>I94+I114</f>
        <v>1505.45</v>
      </c>
      <c r="J138" s="107" t="s">
        <v>316</v>
      </c>
      <c r="K138" s="101"/>
      <c r="L138" s="101"/>
    </row>
    <row r="139" spans="1:14" x14ac:dyDescent="0.25">
      <c r="A139" s="118" t="s">
        <v>83</v>
      </c>
      <c r="B139" s="112">
        <v>2041</v>
      </c>
      <c r="C139" s="256">
        <v>88.23348</v>
      </c>
      <c r="D139" s="256">
        <v>603.66800000000012</v>
      </c>
      <c r="E139" s="114">
        <f t="shared" si="14"/>
        <v>875.15199999999993</v>
      </c>
      <c r="F139" s="114">
        <f>F58+F57</f>
        <v>226.82999999999998</v>
      </c>
      <c r="G139" s="114">
        <f t="shared" ref="G139:I139" si="20">G58+G57</f>
        <v>363.98899999999998</v>
      </c>
      <c r="H139" s="114">
        <f t="shared" si="20"/>
        <v>143.21099999999998</v>
      </c>
      <c r="I139" s="114">
        <f t="shared" si="20"/>
        <v>141.12199999999999</v>
      </c>
      <c r="J139" s="121"/>
      <c r="K139" s="101"/>
      <c r="L139" s="101"/>
    </row>
    <row r="140" spans="1:14" ht="30" customHeight="1" x14ac:dyDescent="0.25">
      <c r="A140" s="228" t="s">
        <v>317</v>
      </c>
      <c r="B140" s="108">
        <v>2060</v>
      </c>
      <c r="C140" s="110">
        <f t="shared" ref="C140" si="21">C130+C132+C134+C136+C138</f>
        <v>76797.797059999997</v>
      </c>
      <c r="D140" s="279">
        <v>104431.86351</v>
      </c>
      <c r="E140" s="279">
        <f t="shared" ref="E140:H140" si="22">E130+E132+E134+E136+E138</f>
        <v>117845.22500000001</v>
      </c>
      <c r="F140" s="279">
        <f>F130+F132+F134+F136+F138</f>
        <v>33640.680999999997</v>
      </c>
      <c r="G140" s="279">
        <f t="shared" si="22"/>
        <v>31504.496999999999</v>
      </c>
      <c r="H140" s="279">
        <f t="shared" si="22"/>
        <v>25997.185000000001</v>
      </c>
      <c r="I140" s="279">
        <f>I130+I132+I134+I136+I138</f>
        <v>26702.862000000001</v>
      </c>
      <c r="J140" s="121"/>
      <c r="K140" s="101"/>
    </row>
    <row r="141" spans="1:14" x14ac:dyDescent="0.25">
      <c r="A141" s="368" t="s">
        <v>56</v>
      </c>
      <c r="B141" s="368"/>
      <c r="C141" s="368"/>
      <c r="D141" s="368"/>
      <c r="E141" s="368"/>
      <c r="F141" s="368"/>
      <c r="G141" s="368"/>
      <c r="H141" s="368"/>
      <c r="I141" s="368"/>
      <c r="J141" s="368"/>
      <c r="K141" s="101"/>
      <c r="L141" s="101"/>
      <c r="M141" s="101"/>
      <c r="N141" s="101"/>
    </row>
    <row r="142" spans="1:14" ht="25.5" x14ac:dyDescent="0.25">
      <c r="A142" s="47" t="s">
        <v>57</v>
      </c>
      <c r="B142" s="108">
        <v>3000</v>
      </c>
      <c r="C142" s="109">
        <f>C143+C144</f>
        <v>0</v>
      </c>
      <c r="D142" s="110"/>
      <c r="E142" s="110">
        <f>E143+E144</f>
        <v>0</v>
      </c>
      <c r="F142" s="110">
        <f>F143+F144</f>
        <v>0</v>
      </c>
      <c r="G142" s="110">
        <f>G143+G144</f>
        <v>0</v>
      </c>
      <c r="H142" s="110">
        <f>H143+H144</f>
        <v>0</v>
      </c>
      <c r="I142" s="110">
        <f>I143+I144</f>
        <v>0</v>
      </c>
      <c r="J142" s="107" t="s">
        <v>249</v>
      </c>
      <c r="K142" s="101"/>
      <c r="L142" s="101"/>
      <c r="M142" s="101"/>
      <c r="N142" s="101"/>
    </row>
    <row r="143" spans="1:14" ht="35.25" customHeight="1" x14ac:dyDescent="0.25">
      <c r="A143" s="37" t="s">
        <v>58</v>
      </c>
      <c r="B143" s="112">
        <v>3001</v>
      </c>
      <c r="C143" s="113"/>
      <c r="D143" s="114">
        <v>0</v>
      </c>
      <c r="E143" s="114"/>
      <c r="F143" s="114"/>
      <c r="G143" s="114"/>
      <c r="H143" s="114"/>
      <c r="I143" s="114"/>
      <c r="J143" s="107"/>
    </row>
    <row r="144" spans="1:14" ht="25.5" x14ac:dyDescent="0.25">
      <c r="A144" s="37" t="s">
        <v>248</v>
      </c>
      <c r="B144" s="112">
        <v>3002</v>
      </c>
      <c r="C144" s="113"/>
      <c r="D144" s="114"/>
      <c r="E144" s="114"/>
      <c r="F144" s="114"/>
      <c r="G144" s="114"/>
      <c r="H144" s="114"/>
      <c r="I144" s="114"/>
      <c r="J144" s="107"/>
      <c r="K144" s="101"/>
      <c r="L144" s="101"/>
      <c r="M144" s="101"/>
      <c r="N144" s="101"/>
    </row>
    <row r="145" spans="1:15" x14ac:dyDescent="0.25">
      <c r="A145" s="365" t="s">
        <v>26</v>
      </c>
      <c r="B145" s="358" t="s">
        <v>27</v>
      </c>
      <c r="C145" s="366" t="s">
        <v>503</v>
      </c>
      <c r="D145" s="358" t="s">
        <v>504</v>
      </c>
      <c r="E145" s="358" t="s">
        <v>28</v>
      </c>
      <c r="F145" s="358" t="s">
        <v>29</v>
      </c>
      <c r="G145" s="358"/>
      <c r="H145" s="358"/>
      <c r="I145" s="358"/>
      <c r="J145" s="364" t="s">
        <v>30</v>
      </c>
      <c r="K145" s="101"/>
      <c r="L145" s="115"/>
      <c r="M145" s="115"/>
      <c r="N145" s="115"/>
    </row>
    <row r="146" spans="1:15" ht="26.25" customHeight="1" x14ac:dyDescent="0.25">
      <c r="A146" s="365"/>
      <c r="B146" s="358"/>
      <c r="C146" s="366"/>
      <c r="D146" s="358"/>
      <c r="E146" s="358"/>
      <c r="F146" s="102" t="s">
        <v>31</v>
      </c>
      <c r="G146" s="102" t="s">
        <v>32</v>
      </c>
      <c r="H146" s="102" t="s">
        <v>33</v>
      </c>
      <c r="I146" s="102" t="s">
        <v>34</v>
      </c>
      <c r="J146" s="364"/>
      <c r="L146" s="115"/>
      <c r="M146" s="115"/>
      <c r="N146" s="115"/>
    </row>
    <row r="147" spans="1:15" x14ac:dyDescent="0.25">
      <c r="A147" s="329">
        <v>1</v>
      </c>
      <c r="B147" s="45">
        <v>2</v>
      </c>
      <c r="C147" s="336"/>
      <c r="D147" s="45">
        <v>3</v>
      </c>
      <c r="E147" s="45">
        <v>4</v>
      </c>
      <c r="F147" s="45">
        <v>5</v>
      </c>
      <c r="G147" s="45">
        <v>6</v>
      </c>
      <c r="H147" s="45">
        <v>7</v>
      </c>
      <c r="I147" s="45">
        <v>8</v>
      </c>
      <c r="J147" s="287" t="s">
        <v>263</v>
      </c>
      <c r="L147" s="115"/>
      <c r="M147" s="115"/>
      <c r="N147" s="115"/>
    </row>
    <row r="148" spans="1:15" ht="25.5" x14ac:dyDescent="0.25">
      <c r="A148" s="47" t="s">
        <v>59</v>
      </c>
      <c r="B148" s="108">
        <v>3100</v>
      </c>
      <c r="C148" s="110">
        <v>217.61699999999999</v>
      </c>
      <c r="D148" s="110">
        <v>5020.2610000000004</v>
      </c>
      <c r="E148" s="110">
        <f>E149+E151+E153+E155+E157+E159</f>
        <v>2122.3591999999999</v>
      </c>
      <c r="F148" s="110">
        <f t="shared" ref="F148:H148" si="23">F149+F151+F153+F155+F157+F159</f>
        <v>410.30700000000002</v>
      </c>
      <c r="G148" s="110">
        <f>G149+G151+G153+G155+G157+G159</f>
        <v>572</v>
      </c>
      <c r="H148" s="110">
        <f t="shared" si="23"/>
        <v>520.05499999999995</v>
      </c>
      <c r="I148" s="110">
        <f>I149+I151+I153+I155+I157+I159</f>
        <v>619.99720000000002</v>
      </c>
      <c r="J148" s="107" t="s">
        <v>250</v>
      </c>
      <c r="K148" s="101"/>
      <c r="L148" s="101"/>
      <c r="M148" s="101"/>
      <c r="N148" s="101"/>
      <c r="O148" s="101"/>
    </row>
    <row r="149" spans="1:15" x14ac:dyDescent="0.25">
      <c r="A149" s="21" t="s">
        <v>60</v>
      </c>
      <c r="B149" s="107">
        <v>3110</v>
      </c>
      <c r="C149" s="117"/>
      <c r="D149" s="117">
        <v>0</v>
      </c>
      <c r="E149" s="110">
        <f>F149+G149+H149+I149</f>
        <v>0</v>
      </c>
      <c r="F149" s="117"/>
      <c r="G149" s="117"/>
      <c r="H149" s="117"/>
      <c r="I149" s="117"/>
      <c r="J149" s="107"/>
    </row>
    <row r="150" spans="1:15" ht="25.5" customHeight="1" x14ac:dyDescent="0.25">
      <c r="A150" s="118" t="s">
        <v>83</v>
      </c>
      <c r="B150" s="105">
        <v>3111</v>
      </c>
      <c r="C150" s="117"/>
      <c r="D150" s="117"/>
      <c r="E150" s="117"/>
      <c r="F150" s="117"/>
      <c r="G150" s="117"/>
      <c r="H150" s="117"/>
      <c r="I150" s="117"/>
      <c r="J150" s="107"/>
      <c r="N150" s="101"/>
    </row>
    <row r="151" spans="1:15" ht="25.9" customHeight="1" x14ac:dyDescent="0.25">
      <c r="A151" s="120" t="s">
        <v>61</v>
      </c>
      <c r="B151" s="107">
        <v>3120</v>
      </c>
      <c r="C151" s="121">
        <v>217.61699999999999</v>
      </c>
      <c r="D151" s="121">
        <v>522.07100000000003</v>
      </c>
      <c r="E151" s="121">
        <f>F151+G151+H151+I151</f>
        <v>2122.3591999999999</v>
      </c>
      <c r="F151" s="114">
        <v>410.30700000000002</v>
      </c>
      <c r="G151" s="114">
        <v>572</v>
      </c>
      <c r="H151" s="114">
        <f>518+2.055</f>
        <v>520.05499999999995</v>
      </c>
      <c r="I151" s="114">
        <f>622.36-0.3078-2.055</f>
        <v>619.99720000000002</v>
      </c>
      <c r="J151" s="107"/>
      <c r="N151" s="101"/>
    </row>
    <row r="152" spans="1:15" x14ac:dyDescent="0.25">
      <c r="A152" s="118" t="s">
        <v>83</v>
      </c>
      <c r="B152" s="105">
        <v>3121</v>
      </c>
      <c r="C152" s="119"/>
      <c r="D152" s="121"/>
      <c r="E152" s="121"/>
      <c r="F152" s="117"/>
      <c r="G152" s="121"/>
      <c r="H152" s="121"/>
      <c r="I152" s="117"/>
      <c r="J152" s="107"/>
      <c r="N152" s="101"/>
      <c r="O152" s="101"/>
    </row>
    <row r="153" spans="1:15" ht="25.5" x14ac:dyDescent="0.25">
      <c r="A153" s="120" t="s">
        <v>62</v>
      </c>
      <c r="B153" s="107">
        <v>3130</v>
      </c>
      <c r="C153" s="116"/>
      <c r="D153" s="123"/>
      <c r="E153" s="123"/>
      <c r="F153" s="123"/>
      <c r="G153" s="123"/>
      <c r="H153" s="123"/>
      <c r="I153" s="123"/>
      <c r="J153" s="107"/>
      <c r="N153" s="101"/>
    </row>
    <row r="154" spans="1:15" x14ac:dyDescent="0.25">
      <c r="A154" s="118" t="s">
        <v>83</v>
      </c>
      <c r="B154" s="105">
        <v>3131</v>
      </c>
      <c r="C154" s="119"/>
      <c r="D154" s="123"/>
      <c r="E154" s="123"/>
      <c r="F154" s="123"/>
      <c r="G154" s="123"/>
      <c r="H154" s="123"/>
      <c r="I154" s="123"/>
      <c r="J154" s="107"/>
      <c r="N154" s="101"/>
    </row>
    <row r="155" spans="1:15" ht="25.5" x14ac:dyDescent="0.25">
      <c r="A155" s="120" t="s">
        <v>63</v>
      </c>
      <c r="B155" s="107">
        <v>3140</v>
      </c>
      <c r="C155" s="116"/>
      <c r="D155" s="123"/>
      <c r="E155" s="123"/>
      <c r="F155" s="123"/>
      <c r="G155" s="123"/>
      <c r="H155" s="123"/>
      <c r="I155" s="123"/>
      <c r="J155" s="107"/>
    </row>
    <row r="156" spans="1:15" x14ac:dyDescent="0.25">
      <c r="A156" s="118" t="s">
        <v>83</v>
      </c>
      <c r="B156" s="105">
        <v>3141</v>
      </c>
      <c r="C156" s="119"/>
      <c r="D156" s="123"/>
      <c r="E156" s="123"/>
      <c r="F156" s="123"/>
      <c r="G156" s="123"/>
      <c r="H156" s="123"/>
      <c r="I156" s="123"/>
      <c r="J156" s="107"/>
      <c r="K156" s="101"/>
      <c r="L156" s="101"/>
      <c r="M156" s="101"/>
      <c r="N156" s="101"/>
    </row>
    <row r="157" spans="1:15" ht="38.25" x14ac:dyDescent="0.25">
      <c r="A157" s="120" t="s">
        <v>64</v>
      </c>
      <c r="B157" s="107">
        <v>3150</v>
      </c>
      <c r="C157" s="116"/>
      <c r="D157" s="123"/>
      <c r="E157" s="123"/>
      <c r="F157" s="123"/>
      <c r="G157" s="123"/>
      <c r="H157" s="123"/>
      <c r="I157" s="123"/>
      <c r="J157" s="107"/>
    </row>
    <row r="158" spans="1:15" x14ac:dyDescent="0.25">
      <c r="A158" s="118" t="s">
        <v>83</v>
      </c>
      <c r="B158" s="105">
        <v>3151</v>
      </c>
      <c r="C158" s="119"/>
      <c r="D158" s="123"/>
      <c r="E158" s="123"/>
      <c r="F158" s="123"/>
      <c r="G158" s="123"/>
      <c r="H158" s="123"/>
      <c r="I158" s="123"/>
      <c r="J158" s="107"/>
    </row>
    <row r="159" spans="1:15" x14ac:dyDescent="0.25">
      <c r="A159" s="120" t="s">
        <v>65</v>
      </c>
      <c r="B159" s="107">
        <v>3160</v>
      </c>
      <c r="C159" s="116"/>
      <c r="D159" s="123">
        <v>4498.1900000000005</v>
      </c>
      <c r="E159" s="128">
        <f>H159+I159</f>
        <v>0</v>
      </c>
      <c r="F159" s="117"/>
      <c r="G159" s="117"/>
      <c r="H159" s="117"/>
      <c r="I159" s="117"/>
      <c r="J159" s="107"/>
    </row>
    <row r="160" spans="1:15" x14ac:dyDescent="0.25">
      <c r="A160" s="118" t="s">
        <v>83</v>
      </c>
      <c r="B160" s="105">
        <v>3161</v>
      </c>
      <c r="C160" s="119"/>
      <c r="D160" s="123"/>
      <c r="E160" s="123"/>
      <c r="F160" s="123"/>
      <c r="G160" s="123"/>
      <c r="H160" s="123"/>
      <c r="I160" s="123"/>
      <c r="J160" s="107"/>
    </row>
    <row r="161" spans="1:14" ht="14.65" customHeight="1" x14ac:dyDescent="0.25">
      <c r="A161" s="370" t="s">
        <v>66</v>
      </c>
      <c r="B161" s="370"/>
      <c r="C161" s="370"/>
      <c r="D161" s="370"/>
      <c r="E161" s="370"/>
      <c r="F161" s="370"/>
      <c r="G161" s="370"/>
      <c r="H161" s="370"/>
      <c r="I161" s="370"/>
      <c r="J161" s="370"/>
    </row>
    <row r="162" spans="1:14" ht="25.5" x14ac:dyDescent="0.25">
      <c r="A162" s="47" t="s">
        <v>67</v>
      </c>
      <c r="B162" s="124">
        <v>4000</v>
      </c>
      <c r="C162" s="148">
        <f t="shared" ref="C162:I162" si="24">C163+C164+C165</f>
        <v>0</v>
      </c>
      <c r="D162" s="124">
        <f t="shared" si="24"/>
        <v>0</v>
      </c>
      <c r="E162" s="124">
        <f t="shared" si="24"/>
        <v>0</v>
      </c>
      <c r="F162" s="124">
        <f t="shared" si="24"/>
        <v>0</v>
      </c>
      <c r="G162" s="124">
        <f t="shared" si="24"/>
        <v>0</v>
      </c>
      <c r="H162" s="124">
        <f t="shared" si="24"/>
        <v>0</v>
      </c>
      <c r="I162" s="124">
        <f t="shared" si="24"/>
        <v>0</v>
      </c>
      <c r="J162" s="107" t="s">
        <v>251</v>
      </c>
    </row>
    <row r="163" spans="1:14" x14ac:dyDescent="0.25">
      <c r="A163" s="337" t="s">
        <v>68</v>
      </c>
      <c r="B163" s="105">
        <v>4001</v>
      </c>
      <c r="C163" s="119"/>
      <c r="D163" s="123"/>
      <c r="E163" s="123"/>
      <c r="F163" s="123"/>
      <c r="G163" s="123"/>
      <c r="H163" s="123"/>
      <c r="I163" s="123"/>
      <c r="J163" s="107"/>
    </row>
    <row r="164" spans="1:14" x14ac:dyDescent="0.25">
      <c r="A164" s="337" t="s">
        <v>69</v>
      </c>
      <c r="B164" s="105">
        <v>4002</v>
      </c>
      <c r="C164" s="119"/>
      <c r="D164" s="123"/>
      <c r="E164" s="123"/>
      <c r="F164" s="123"/>
      <c r="G164" s="123"/>
      <c r="H164" s="123"/>
      <c r="I164" s="123"/>
      <c r="J164" s="107"/>
    </row>
    <row r="165" spans="1:14" x14ac:dyDescent="0.25">
      <c r="A165" s="337" t="s">
        <v>70</v>
      </c>
      <c r="B165" s="105">
        <v>4003</v>
      </c>
      <c r="C165" s="119"/>
      <c r="D165" s="123"/>
      <c r="E165" s="123"/>
      <c r="F165" s="123"/>
      <c r="G165" s="123"/>
      <c r="H165" s="123"/>
      <c r="I165" s="123"/>
      <c r="J165" s="107"/>
    </row>
    <row r="166" spans="1:14" x14ac:dyDescent="0.25">
      <c r="A166" s="21" t="s">
        <v>71</v>
      </c>
      <c r="B166" s="107">
        <v>4010</v>
      </c>
      <c r="C166" s="116"/>
      <c r="D166" s="123"/>
      <c r="E166" s="123"/>
      <c r="F166" s="123"/>
      <c r="G166" s="123"/>
      <c r="H166" s="123"/>
      <c r="I166" s="123"/>
      <c r="J166" s="107"/>
    </row>
    <row r="167" spans="1:14" ht="25.5" x14ac:dyDescent="0.25">
      <c r="A167" s="47" t="s">
        <v>72</v>
      </c>
      <c r="B167" s="124">
        <v>4020</v>
      </c>
      <c r="C167" s="148">
        <f t="shared" ref="C167:I167" si="25">C168+C169+C170+C171</f>
        <v>0</v>
      </c>
      <c r="D167" s="124">
        <f t="shared" si="25"/>
        <v>0</v>
      </c>
      <c r="E167" s="124">
        <f t="shared" si="25"/>
        <v>0</v>
      </c>
      <c r="F167" s="124">
        <f t="shared" si="25"/>
        <v>0</v>
      </c>
      <c r="G167" s="124">
        <f t="shared" si="25"/>
        <v>0</v>
      </c>
      <c r="H167" s="124">
        <f t="shared" si="25"/>
        <v>0</v>
      </c>
      <c r="I167" s="124">
        <f t="shared" si="25"/>
        <v>0</v>
      </c>
      <c r="J167" s="107" t="s">
        <v>252</v>
      </c>
    </row>
    <row r="168" spans="1:14" x14ac:dyDescent="0.25">
      <c r="A168" s="337" t="s">
        <v>68</v>
      </c>
      <c r="B168" s="105">
        <v>4021</v>
      </c>
      <c r="C168" s="119"/>
      <c r="D168" s="123"/>
      <c r="E168" s="123"/>
      <c r="F168" s="123"/>
      <c r="G168" s="123"/>
      <c r="H168" s="123"/>
      <c r="I168" s="123"/>
      <c r="J168" s="107"/>
    </row>
    <row r="169" spans="1:14" x14ac:dyDescent="0.25">
      <c r="A169" s="337" t="s">
        <v>69</v>
      </c>
      <c r="B169" s="105">
        <v>4022</v>
      </c>
      <c r="C169" s="119"/>
      <c r="D169" s="123"/>
      <c r="E169" s="123"/>
      <c r="F169" s="123"/>
      <c r="G169" s="123"/>
      <c r="H169" s="123"/>
      <c r="I169" s="123"/>
      <c r="J169" s="107"/>
    </row>
    <row r="170" spans="1:14" x14ac:dyDescent="0.25">
      <c r="A170" s="337" t="s">
        <v>70</v>
      </c>
      <c r="B170" s="105">
        <v>4023</v>
      </c>
      <c r="C170" s="119"/>
      <c r="D170" s="123"/>
      <c r="E170" s="123"/>
      <c r="F170" s="123"/>
      <c r="G170" s="123"/>
      <c r="H170" s="123"/>
      <c r="I170" s="123"/>
      <c r="J170" s="107"/>
    </row>
    <row r="171" spans="1:14" x14ac:dyDescent="0.25">
      <c r="A171" s="21" t="s">
        <v>73</v>
      </c>
      <c r="B171" s="107">
        <v>4030</v>
      </c>
      <c r="C171" s="116"/>
      <c r="D171" s="123"/>
      <c r="E171" s="123"/>
      <c r="F171" s="123"/>
      <c r="G171" s="123"/>
      <c r="H171" s="123"/>
      <c r="I171" s="123"/>
      <c r="J171" s="107"/>
    </row>
    <row r="172" spans="1:14" ht="14.65" customHeight="1" x14ac:dyDescent="0.25">
      <c r="A172" s="370" t="s">
        <v>108</v>
      </c>
      <c r="B172" s="370"/>
      <c r="C172" s="370"/>
      <c r="D172" s="370"/>
      <c r="E172" s="370"/>
      <c r="F172" s="370"/>
      <c r="G172" s="370"/>
      <c r="H172" s="370"/>
      <c r="I172" s="370"/>
      <c r="J172" s="370"/>
    </row>
    <row r="173" spans="1:14" ht="25.5" x14ac:dyDescent="0.25">
      <c r="A173" s="338" t="s">
        <v>247</v>
      </c>
      <c r="B173" s="124">
        <v>5000</v>
      </c>
      <c r="C173" s="103">
        <f t="shared" ref="C173" si="26">C35+C40+C142+C162</f>
        <v>89464.727809999997</v>
      </c>
      <c r="D173" s="103">
        <f>D35+D40+D142+D162</f>
        <v>109452.12471000002</v>
      </c>
      <c r="E173" s="103">
        <f>E35+E40+E142+E162</f>
        <v>119967.58410000001</v>
      </c>
      <c r="F173" s="103">
        <f t="shared" ref="F173:I173" si="27">F35+F40+F142+F162</f>
        <v>34050.988000000005</v>
      </c>
      <c r="G173" s="103">
        <f t="shared" si="27"/>
        <v>32076.496999999999</v>
      </c>
      <c r="H173" s="103">
        <f t="shared" si="27"/>
        <v>26517.239999999998</v>
      </c>
      <c r="I173" s="103">
        <f t="shared" si="27"/>
        <v>27322.859099999998</v>
      </c>
      <c r="J173" s="107"/>
      <c r="K173" s="125"/>
    </row>
    <row r="174" spans="1:14" ht="25.5" x14ac:dyDescent="0.25">
      <c r="A174" s="338" t="s">
        <v>253</v>
      </c>
      <c r="B174" s="124">
        <v>5010</v>
      </c>
      <c r="C174" s="103">
        <v>77015.414059999996</v>
      </c>
      <c r="D174" s="103">
        <f>D71+D108+D148</f>
        <v>109452.12450999999</v>
      </c>
      <c r="E174" s="103">
        <f>E71+E108+E148</f>
        <v>119967.5842</v>
      </c>
      <c r="F174" s="103">
        <f>F71+F108+F148</f>
        <v>34050.988000000005</v>
      </c>
      <c r="G174" s="103">
        <f>G71+G108+G148+G167</f>
        <v>32076.496999999999</v>
      </c>
      <c r="H174" s="103">
        <f>H71+H108+H148+H167</f>
        <v>26517.24</v>
      </c>
      <c r="I174" s="103">
        <f>I71+I108+I148+I167</f>
        <v>27322.859199999999</v>
      </c>
      <c r="J174" s="107"/>
      <c r="K174" s="101"/>
      <c r="L174" s="101"/>
      <c r="M174" s="101"/>
      <c r="N174" s="101"/>
    </row>
    <row r="175" spans="1:14" x14ac:dyDescent="0.25">
      <c r="A175" s="355" t="s">
        <v>26</v>
      </c>
      <c r="B175" s="356" t="s">
        <v>27</v>
      </c>
      <c r="C175" s="357" t="s">
        <v>503</v>
      </c>
      <c r="D175" s="356" t="s">
        <v>504</v>
      </c>
      <c r="E175" s="358" t="s">
        <v>28</v>
      </c>
      <c r="F175" s="356" t="s">
        <v>29</v>
      </c>
      <c r="G175" s="356"/>
      <c r="H175" s="356"/>
      <c r="I175" s="356"/>
      <c r="J175" s="359" t="s">
        <v>30</v>
      </c>
      <c r="K175" s="101"/>
    </row>
    <row r="176" spans="1:14" ht="21.6" customHeight="1" x14ac:dyDescent="0.25">
      <c r="A176" s="355"/>
      <c r="B176" s="356"/>
      <c r="C176" s="357"/>
      <c r="D176" s="356"/>
      <c r="E176" s="358"/>
      <c r="F176" s="63" t="s">
        <v>31</v>
      </c>
      <c r="G176" s="63" t="s">
        <v>32</v>
      </c>
      <c r="H176" s="102" t="s">
        <v>33</v>
      </c>
      <c r="I176" s="63" t="s">
        <v>34</v>
      </c>
      <c r="J176" s="359"/>
    </row>
    <row r="177" spans="1:15" x14ac:dyDescent="0.25">
      <c r="A177" s="41">
        <v>1</v>
      </c>
      <c r="B177" s="42">
        <v>2</v>
      </c>
      <c r="C177" s="64"/>
      <c r="D177" s="42">
        <v>3</v>
      </c>
      <c r="E177" s="45">
        <v>4</v>
      </c>
      <c r="F177" s="42">
        <v>5</v>
      </c>
      <c r="G177" s="42">
        <v>6</v>
      </c>
      <c r="H177" s="45">
        <v>7</v>
      </c>
      <c r="I177" s="42">
        <v>8</v>
      </c>
      <c r="J177" s="65" t="s">
        <v>263</v>
      </c>
    </row>
    <row r="178" spans="1:15" x14ac:dyDescent="0.25">
      <c r="A178" s="94" t="s">
        <v>74</v>
      </c>
      <c r="B178" s="111">
        <v>5020</v>
      </c>
      <c r="C178" s="126"/>
      <c r="D178" s="127"/>
      <c r="E178" s="128"/>
      <c r="F178" s="128"/>
      <c r="G178" s="128"/>
      <c r="H178" s="128"/>
      <c r="I178" s="128"/>
      <c r="J178" s="129"/>
    </row>
    <row r="179" spans="1:15" ht="26.25" customHeight="1" x14ac:dyDescent="0.25">
      <c r="A179" s="147" t="s">
        <v>88</v>
      </c>
      <c r="B179" s="124">
        <v>5030</v>
      </c>
      <c r="C179" s="148"/>
      <c r="D179" s="123"/>
      <c r="E179" s="123"/>
      <c r="F179" s="128"/>
      <c r="G179" s="123"/>
      <c r="H179" s="123"/>
      <c r="I179" s="128"/>
      <c r="J179" s="111"/>
    </row>
    <row r="180" spans="1:15" x14ac:dyDescent="0.25">
      <c r="A180" s="21" t="s">
        <v>89</v>
      </c>
      <c r="B180" s="107">
        <v>5040</v>
      </c>
      <c r="C180" s="116"/>
      <c r="D180" s="123"/>
      <c r="E180" s="123"/>
      <c r="F180" s="123"/>
      <c r="G180" s="123"/>
      <c r="H180" s="128"/>
      <c r="I180" s="123"/>
      <c r="J180" s="111"/>
    </row>
    <row r="181" spans="1:15" x14ac:dyDescent="0.25">
      <c r="A181" s="21" t="s">
        <v>90</v>
      </c>
      <c r="B181" s="107">
        <v>5050</v>
      </c>
      <c r="C181" s="116"/>
      <c r="D181" s="123"/>
      <c r="E181" s="123"/>
      <c r="F181" s="123"/>
      <c r="G181" s="123"/>
      <c r="H181" s="123"/>
      <c r="I181" s="123"/>
      <c r="J181" s="111"/>
    </row>
    <row r="182" spans="1:15" ht="14.65" customHeight="1" x14ac:dyDescent="0.25">
      <c r="A182" s="361" t="s">
        <v>105</v>
      </c>
      <c r="B182" s="361"/>
      <c r="C182" s="361"/>
      <c r="D182" s="361"/>
      <c r="E182" s="361"/>
      <c r="F182" s="361"/>
      <c r="G182" s="361"/>
      <c r="H182" s="361"/>
      <c r="I182" s="361"/>
      <c r="J182" s="361"/>
    </row>
    <row r="183" spans="1:15" ht="25.5" x14ac:dyDescent="0.25">
      <c r="A183" s="74" t="s">
        <v>91</v>
      </c>
      <c r="B183" s="74"/>
      <c r="C183" s="130"/>
      <c r="D183" s="5"/>
      <c r="E183" s="46"/>
      <c r="F183" s="43" t="s">
        <v>75</v>
      </c>
      <c r="G183" s="43" t="s">
        <v>76</v>
      </c>
      <c r="H183" s="46" t="s">
        <v>77</v>
      </c>
      <c r="I183" s="43" t="s">
        <v>78</v>
      </c>
      <c r="J183" s="65"/>
    </row>
    <row r="184" spans="1:15" ht="75.75" customHeight="1" x14ac:dyDescent="0.25">
      <c r="A184" s="131" t="s">
        <v>92</v>
      </c>
      <c r="B184" s="42">
        <v>6000</v>
      </c>
      <c r="C184" s="139">
        <v>279</v>
      </c>
      <c r="D184" s="42">
        <v>333.5</v>
      </c>
      <c r="E184" s="132">
        <f>E185+E186+E187+E188+E189+E190</f>
        <v>333.5</v>
      </c>
      <c r="F184" s="132">
        <f>F185+F186+F187+F188+F189+F190</f>
        <v>333.25</v>
      </c>
      <c r="G184" s="132">
        <v>333.5</v>
      </c>
      <c r="H184" s="132">
        <f>H185+H186+H188+H189+H190</f>
        <v>338.5</v>
      </c>
      <c r="I184" s="132">
        <f>I185+I186+I188+I189+I190</f>
        <v>338.5</v>
      </c>
      <c r="J184" s="65"/>
    </row>
    <row r="185" spans="1:15" ht="25.5" x14ac:dyDescent="0.25">
      <c r="A185" s="89" t="s">
        <v>93</v>
      </c>
      <c r="B185" s="133">
        <v>6001</v>
      </c>
      <c r="C185" s="262">
        <v>26</v>
      </c>
      <c r="D185" s="43">
        <v>34.25</v>
      </c>
      <c r="E185" s="46">
        <v>34.25</v>
      </c>
      <c r="F185" s="43">
        <v>34.25</v>
      </c>
      <c r="G185" s="43">
        <v>34.25</v>
      </c>
      <c r="H185" s="46">
        <v>35.25</v>
      </c>
      <c r="I185" s="43">
        <v>35.25</v>
      </c>
      <c r="J185" s="134"/>
    </row>
    <row r="186" spans="1:15" x14ac:dyDescent="0.25">
      <c r="A186" s="89" t="s">
        <v>94</v>
      </c>
      <c r="B186" s="133">
        <v>6002</v>
      </c>
      <c r="C186" s="262">
        <v>54</v>
      </c>
      <c r="D186" s="43">
        <v>77.5</v>
      </c>
      <c r="E186" s="46">
        <v>77.5</v>
      </c>
      <c r="F186" s="46">
        <v>77.25</v>
      </c>
      <c r="G186" s="46">
        <v>77.25</v>
      </c>
      <c r="H186" s="46">
        <v>77.25</v>
      </c>
      <c r="I186" s="46">
        <v>77.25</v>
      </c>
      <c r="J186" s="135"/>
    </row>
    <row r="187" spans="1:15" x14ac:dyDescent="0.25">
      <c r="A187" s="89" t="s">
        <v>95</v>
      </c>
      <c r="B187" s="133">
        <v>6003</v>
      </c>
      <c r="C187" s="262">
        <v>1</v>
      </c>
      <c r="D187" s="43">
        <v>1</v>
      </c>
      <c r="E187" s="46">
        <v>1</v>
      </c>
      <c r="F187" s="46">
        <v>1</v>
      </c>
      <c r="G187" s="46">
        <v>1</v>
      </c>
      <c r="H187" s="46">
        <v>1</v>
      </c>
      <c r="I187" s="46">
        <v>1</v>
      </c>
      <c r="J187" s="135"/>
    </row>
    <row r="188" spans="1:15" ht="26.25" x14ac:dyDescent="0.25">
      <c r="A188" s="136" t="s">
        <v>97</v>
      </c>
      <c r="B188" s="133">
        <v>6004</v>
      </c>
      <c r="C188" s="262">
        <v>112</v>
      </c>
      <c r="D188" s="43">
        <v>129.75</v>
      </c>
      <c r="E188" s="46">
        <v>129.75</v>
      </c>
      <c r="F188" s="46">
        <v>129.75</v>
      </c>
      <c r="G188" s="46">
        <v>129.75</v>
      </c>
      <c r="H188" s="46">
        <v>129.75</v>
      </c>
      <c r="I188" s="46">
        <v>129.75</v>
      </c>
      <c r="J188" s="65"/>
    </row>
    <row r="189" spans="1:15" x14ac:dyDescent="0.25">
      <c r="A189" s="89" t="s">
        <v>98</v>
      </c>
      <c r="B189" s="133">
        <v>6005</v>
      </c>
      <c r="C189" s="262">
        <v>48</v>
      </c>
      <c r="D189" s="43">
        <v>53.25</v>
      </c>
      <c r="E189" s="46">
        <v>53.25</v>
      </c>
      <c r="F189" s="46">
        <v>52.75</v>
      </c>
      <c r="G189" s="46">
        <v>52.75</v>
      </c>
      <c r="H189" s="46">
        <v>58</v>
      </c>
      <c r="I189" s="46">
        <v>58</v>
      </c>
      <c r="J189" s="65"/>
    </row>
    <row r="190" spans="1:15" x14ac:dyDescent="0.25">
      <c r="A190" s="89" t="s">
        <v>96</v>
      </c>
      <c r="B190" s="133">
        <v>6006</v>
      </c>
      <c r="C190" s="262">
        <v>38</v>
      </c>
      <c r="D190" s="43">
        <v>37.75</v>
      </c>
      <c r="E190" s="46">
        <v>37.75</v>
      </c>
      <c r="F190" s="46">
        <v>38.25</v>
      </c>
      <c r="G190" s="46">
        <v>38.25</v>
      </c>
      <c r="H190" s="46">
        <v>38.25</v>
      </c>
      <c r="I190" s="46">
        <v>38.25</v>
      </c>
      <c r="J190" s="65"/>
    </row>
    <row r="191" spans="1:15" ht="25.5" x14ac:dyDescent="0.25">
      <c r="A191" s="94" t="s">
        <v>515</v>
      </c>
      <c r="B191" s="42">
        <v>6010</v>
      </c>
      <c r="C191" s="69">
        <f>C192+C193+C194+C195+C196+C197</f>
        <v>44883.284149999999</v>
      </c>
      <c r="D191" s="43">
        <f>D192+D193+D194+D195+D196+D197</f>
        <v>57545.412999999993</v>
      </c>
      <c r="E191" s="72">
        <f t="shared" ref="E191:E197" si="28">F191+G191+H191+I191</f>
        <v>63842.767</v>
      </c>
      <c r="F191" s="72">
        <f>F192+F193+F194+F195+F196+F197</f>
        <v>16399.828000000001</v>
      </c>
      <c r="G191" s="72">
        <f>G192+G193+G194+G195+G196+G197</f>
        <v>16252.806</v>
      </c>
      <c r="H191" s="72">
        <f>H192+H193+H194+H195+H196+H197</f>
        <v>15434.989</v>
      </c>
      <c r="I191" s="72">
        <f>I192+I193+I194+I195+I196+I197</f>
        <v>15755.144</v>
      </c>
      <c r="J191" s="65"/>
      <c r="K191" s="137"/>
      <c r="L191" s="101"/>
      <c r="M191" s="101"/>
      <c r="N191" s="101"/>
      <c r="O191" s="101"/>
    </row>
    <row r="192" spans="1:15" ht="25.5" x14ac:dyDescent="0.25">
      <c r="A192" s="89" t="s">
        <v>93</v>
      </c>
      <c r="B192" s="133">
        <v>6011</v>
      </c>
      <c r="C192" s="262">
        <v>5640</v>
      </c>
      <c r="D192" s="43">
        <f>4588.532+100.17+1150.56</f>
        <v>5839.2620000000006</v>
      </c>
      <c r="E192" s="46">
        <f t="shared" si="28"/>
        <v>5914.1170000000002</v>
      </c>
      <c r="F192" s="72">
        <v>1457.0619999999999</v>
      </c>
      <c r="G192" s="72">
        <v>1457.058</v>
      </c>
      <c r="H192" s="72">
        <v>1499.9970000000001</v>
      </c>
      <c r="I192" s="72">
        <v>1500</v>
      </c>
      <c r="J192" s="65"/>
      <c r="K192" s="138"/>
      <c r="L192" s="101"/>
      <c r="M192" s="101"/>
      <c r="N192" s="101"/>
      <c r="O192" s="101"/>
    </row>
    <row r="193" spans="1:12" x14ac:dyDescent="0.25">
      <c r="A193" s="89" t="s">
        <v>94</v>
      </c>
      <c r="B193" s="133">
        <v>6012</v>
      </c>
      <c r="C193" s="262">
        <v>13550.3969</v>
      </c>
      <c r="D193" s="43">
        <f>18696.494-1150.56</f>
        <v>17545.933999999997</v>
      </c>
      <c r="E193" s="46">
        <f t="shared" si="28"/>
        <v>21959.172999999999</v>
      </c>
      <c r="F193" s="72">
        <f>4615+122.647+400-250-72.282+1000+102.009</f>
        <v>5917.3739999999998</v>
      </c>
      <c r="G193" s="72">
        <f>4615+65.126-228.009+400-0.001-250+49.632+1000-35.476</f>
        <v>5616.2719999999999</v>
      </c>
      <c r="H193" s="72">
        <f>4615+96.25-229.456+400-0.001-250-50.368+500-33.293</f>
        <v>5048.1319999999996</v>
      </c>
      <c r="I193" s="72">
        <f>4615-53.529+249.533+400+0.002-373.389+73.018+500-33.24</f>
        <v>5377.3950000000004</v>
      </c>
      <c r="J193" s="65"/>
      <c r="K193" s="137"/>
    </row>
    <row r="194" spans="1:12" x14ac:dyDescent="0.25">
      <c r="A194" s="89" t="s">
        <v>95</v>
      </c>
      <c r="B194" s="133">
        <v>6013</v>
      </c>
      <c r="C194" s="262">
        <v>240</v>
      </c>
      <c r="D194" s="43">
        <v>400</v>
      </c>
      <c r="E194" s="46">
        <f t="shared" si="28"/>
        <v>240</v>
      </c>
      <c r="F194" s="72">
        <v>60</v>
      </c>
      <c r="G194" s="72">
        <v>60</v>
      </c>
      <c r="H194" s="72">
        <v>60</v>
      </c>
      <c r="I194" s="72">
        <v>60</v>
      </c>
      <c r="J194" s="65"/>
      <c r="K194" s="138"/>
      <c r="L194" s="101"/>
    </row>
    <row r="195" spans="1:12" ht="26.25" x14ac:dyDescent="0.25">
      <c r="A195" s="136" t="s">
        <v>97</v>
      </c>
      <c r="B195" s="133">
        <v>6014</v>
      </c>
      <c r="C195" s="262">
        <v>17964.00821</v>
      </c>
      <c r="D195" s="43">
        <v>22400</v>
      </c>
      <c r="E195" s="46">
        <f t="shared" si="28"/>
        <v>24669.26</v>
      </c>
      <c r="F195" s="72">
        <f>1018.227+5340</f>
        <v>6358.2269999999999</v>
      </c>
      <c r="G195" s="72">
        <f>5340+1008.674</f>
        <v>6348.674</v>
      </c>
      <c r="H195" s="72">
        <f>5340+645.735</f>
        <v>5985.7349999999997</v>
      </c>
      <c r="I195" s="72">
        <f>636.624+5340</f>
        <v>5976.6239999999998</v>
      </c>
      <c r="J195" s="65"/>
    </row>
    <row r="196" spans="1:12" x14ac:dyDescent="0.25">
      <c r="A196" s="89" t="s">
        <v>98</v>
      </c>
      <c r="B196" s="133">
        <v>6015</v>
      </c>
      <c r="C196" s="262">
        <v>3963.8790399999998</v>
      </c>
      <c r="D196" s="43">
        <v>8200</v>
      </c>
      <c r="E196" s="46">
        <f t="shared" si="28"/>
        <v>6800</v>
      </c>
      <c r="F196" s="72">
        <v>1600</v>
      </c>
      <c r="G196" s="72">
        <v>1600</v>
      </c>
      <c r="H196" s="72">
        <v>1800</v>
      </c>
      <c r="I196" s="72">
        <v>1800</v>
      </c>
      <c r="J196" s="65"/>
    </row>
    <row r="197" spans="1:12" x14ac:dyDescent="0.25">
      <c r="A197" s="89" t="s">
        <v>96</v>
      </c>
      <c r="B197" s="133">
        <v>6016</v>
      </c>
      <c r="C197" s="262">
        <v>3525</v>
      </c>
      <c r="D197" s="43">
        <v>3160.2170000000001</v>
      </c>
      <c r="E197" s="46">
        <f t="shared" si="28"/>
        <v>4260.2170000000006</v>
      </c>
      <c r="F197" s="72">
        <f>407.165+300+100+100+100</f>
        <v>1007.165</v>
      </c>
      <c r="G197" s="72">
        <f>570.802+300+100+200</f>
        <v>1170.8020000000001</v>
      </c>
      <c r="H197" s="72">
        <f>641.125+300+100</f>
        <v>1041.125</v>
      </c>
      <c r="I197" s="72">
        <f>641.125+300+100</f>
        <v>1041.125</v>
      </c>
      <c r="J197" s="65"/>
    </row>
    <row r="198" spans="1:12" ht="42.75" customHeight="1" x14ac:dyDescent="0.25">
      <c r="A198" s="131" t="s">
        <v>516</v>
      </c>
      <c r="B198" s="42">
        <v>6020</v>
      </c>
      <c r="C198" s="266">
        <f>C191/C184/12</f>
        <v>13.405998850059737</v>
      </c>
      <c r="D198" s="139">
        <f>D191/D184/12</f>
        <v>14.379163668165916</v>
      </c>
      <c r="E198" s="139">
        <f>E191/E184/12</f>
        <v>15.952715392303849</v>
      </c>
      <c r="F198" s="132">
        <f>F191/F184/3</f>
        <v>16.403928982245564</v>
      </c>
      <c r="G198" s="132">
        <f>G191/G184/3</f>
        <v>16.244683658170917</v>
      </c>
      <c r="H198" s="132">
        <f>H191/H184/3</f>
        <v>15.19939832594781</v>
      </c>
      <c r="I198" s="132">
        <f>I191/I184/3</f>
        <v>15.514666666666669</v>
      </c>
      <c r="J198" s="65"/>
    </row>
    <row r="199" spans="1:12" ht="22.5" customHeight="1" x14ac:dyDescent="0.25">
      <c r="A199" s="355" t="s">
        <v>26</v>
      </c>
      <c r="B199" s="356" t="s">
        <v>27</v>
      </c>
      <c r="C199" s="357" t="s">
        <v>503</v>
      </c>
      <c r="D199" s="356" t="s">
        <v>504</v>
      </c>
      <c r="E199" s="358" t="s">
        <v>28</v>
      </c>
      <c r="F199" s="356" t="s">
        <v>29</v>
      </c>
      <c r="G199" s="356"/>
      <c r="H199" s="356"/>
      <c r="I199" s="356"/>
      <c r="J199" s="359" t="s">
        <v>30</v>
      </c>
    </row>
    <row r="200" spans="1:12" x14ac:dyDescent="0.25">
      <c r="A200" s="355"/>
      <c r="B200" s="356"/>
      <c r="C200" s="357"/>
      <c r="D200" s="356"/>
      <c r="E200" s="358"/>
      <c r="F200" s="63" t="s">
        <v>31</v>
      </c>
      <c r="G200" s="63" t="s">
        <v>32</v>
      </c>
      <c r="H200" s="102" t="s">
        <v>33</v>
      </c>
      <c r="I200" s="63" t="s">
        <v>34</v>
      </c>
      <c r="J200" s="359"/>
    </row>
    <row r="201" spans="1:12" ht="16.5" customHeight="1" x14ac:dyDescent="0.25">
      <c r="A201" s="41">
        <v>1</v>
      </c>
      <c r="B201" s="42">
        <v>2</v>
      </c>
      <c r="C201" s="64"/>
      <c r="D201" s="42">
        <v>3</v>
      </c>
      <c r="E201" s="45">
        <v>4</v>
      </c>
      <c r="F201" s="42">
        <v>5</v>
      </c>
      <c r="G201" s="42">
        <v>6</v>
      </c>
      <c r="H201" s="45">
        <v>7</v>
      </c>
      <c r="I201" s="42">
        <v>8</v>
      </c>
      <c r="J201" s="65" t="s">
        <v>263</v>
      </c>
    </row>
    <row r="202" spans="1:12" ht="25.5" x14ac:dyDescent="0.25">
      <c r="A202" s="89" t="s">
        <v>93</v>
      </c>
      <c r="B202" s="133">
        <v>6021</v>
      </c>
      <c r="C202" s="64">
        <f t="shared" ref="C202:E207" si="29">C192/C185/12</f>
        <v>18.076923076923077</v>
      </c>
      <c r="D202" s="132">
        <f t="shared" ref="D202" si="30">D192/D185/12</f>
        <v>14.207450121654503</v>
      </c>
      <c r="E202" s="132">
        <f t="shared" si="29"/>
        <v>14.389579075425791</v>
      </c>
      <c r="F202" s="132">
        <f t="shared" ref="F202:I207" si="31">F192/F185/3</f>
        <v>14.18065206812652</v>
      </c>
      <c r="G202" s="132">
        <f t="shared" si="31"/>
        <v>14.180613138686132</v>
      </c>
      <c r="H202" s="132">
        <f t="shared" si="31"/>
        <v>14.184368794326241</v>
      </c>
      <c r="I202" s="132">
        <f t="shared" si="31"/>
        <v>14.184397163120567</v>
      </c>
      <c r="J202" s="65"/>
      <c r="K202" s="138"/>
    </row>
    <row r="203" spans="1:12" x14ac:dyDescent="0.25">
      <c r="A203" s="89" t="s">
        <v>94</v>
      </c>
      <c r="B203" s="133">
        <v>6022</v>
      </c>
      <c r="C203" s="64">
        <f t="shared" si="29"/>
        <v>20.911106327160493</v>
      </c>
      <c r="D203" s="132">
        <f t="shared" ref="D203" si="32">D193/D186/12</f>
        <v>18.86659569892473</v>
      </c>
      <c r="E203" s="132">
        <f t="shared" si="29"/>
        <v>23.61201397849462</v>
      </c>
      <c r="F203" s="132">
        <f t="shared" si="31"/>
        <v>25.533436893203884</v>
      </c>
      <c r="G203" s="132">
        <f t="shared" si="31"/>
        <v>24.234183387270765</v>
      </c>
      <c r="H203" s="132">
        <f t="shared" si="31"/>
        <v>21.782662351672059</v>
      </c>
      <c r="I203" s="132">
        <f t="shared" si="31"/>
        <v>23.203430420711978</v>
      </c>
      <c r="J203" s="65"/>
      <c r="K203" s="138"/>
    </row>
    <row r="204" spans="1:12" x14ac:dyDescent="0.25">
      <c r="A204" s="89" t="s">
        <v>95</v>
      </c>
      <c r="B204" s="133">
        <v>6023</v>
      </c>
      <c r="C204" s="64">
        <f t="shared" si="29"/>
        <v>20</v>
      </c>
      <c r="D204" s="132">
        <f t="shared" ref="D204" si="33">D194/D187/12</f>
        <v>33.333333333333336</v>
      </c>
      <c r="E204" s="132">
        <f t="shared" si="29"/>
        <v>20</v>
      </c>
      <c r="F204" s="132">
        <f t="shared" si="31"/>
        <v>20</v>
      </c>
      <c r="G204" s="132">
        <f>G194/G187/3</f>
        <v>20</v>
      </c>
      <c r="H204" s="132">
        <f>H194/H187/3</f>
        <v>20</v>
      </c>
      <c r="I204" s="132">
        <f>I194/I187/3</f>
        <v>20</v>
      </c>
      <c r="J204" s="65"/>
      <c r="K204" s="138"/>
    </row>
    <row r="205" spans="1:12" ht="26.25" x14ac:dyDescent="0.25">
      <c r="A205" s="136" t="s">
        <v>97</v>
      </c>
      <c r="B205" s="133">
        <v>6024</v>
      </c>
      <c r="C205" s="64">
        <f t="shared" si="29"/>
        <v>13.366077537202381</v>
      </c>
      <c r="D205" s="132">
        <f t="shared" ref="D205" si="34">D195/D188/12</f>
        <v>14.386640976236352</v>
      </c>
      <c r="E205" s="132">
        <f t="shared" si="29"/>
        <v>15.844097623635195</v>
      </c>
      <c r="F205" s="132">
        <f t="shared" si="31"/>
        <v>16.334558766859345</v>
      </c>
      <c r="G205" s="132">
        <f t="shared" si="31"/>
        <v>16.310016698779705</v>
      </c>
      <c r="H205" s="132">
        <f t="shared" si="31"/>
        <v>15.37761078998073</v>
      </c>
      <c r="I205" s="132">
        <f t="shared" si="31"/>
        <v>15.354204238921001</v>
      </c>
      <c r="J205" s="65"/>
      <c r="K205" s="138"/>
    </row>
    <row r="206" spans="1:12" x14ac:dyDescent="0.25">
      <c r="A206" s="89" t="s">
        <v>98</v>
      </c>
      <c r="B206" s="133">
        <v>6025</v>
      </c>
      <c r="C206" s="64">
        <f t="shared" si="29"/>
        <v>6.8817344444444437</v>
      </c>
      <c r="D206" s="132">
        <f t="shared" ref="D206" si="35">D196/D189/12</f>
        <v>12.832550860719875</v>
      </c>
      <c r="E206" s="132">
        <f t="shared" si="29"/>
        <v>10.641627543035993</v>
      </c>
      <c r="F206" s="132">
        <f t="shared" si="31"/>
        <v>10.110584518167457</v>
      </c>
      <c r="G206" s="132">
        <f t="shared" si="31"/>
        <v>10.110584518167457</v>
      </c>
      <c r="H206" s="132">
        <f t="shared" si="31"/>
        <v>10.344827586206897</v>
      </c>
      <c r="I206" s="132">
        <f t="shared" si="31"/>
        <v>10.344827586206897</v>
      </c>
      <c r="J206" s="65"/>
      <c r="K206" s="138"/>
    </row>
    <row r="207" spans="1:12" x14ac:dyDescent="0.25">
      <c r="A207" s="89" t="s">
        <v>96</v>
      </c>
      <c r="B207" s="133">
        <v>6026</v>
      </c>
      <c r="C207" s="64">
        <f t="shared" si="29"/>
        <v>7.7302631578947363</v>
      </c>
      <c r="D207" s="132">
        <f t="shared" si="29"/>
        <v>6.9761964679911701</v>
      </c>
      <c r="E207" s="132">
        <f t="shared" si="29"/>
        <v>9.4044525386313484</v>
      </c>
      <c r="F207" s="132">
        <f t="shared" si="31"/>
        <v>8.7770370370370365</v>
      </c>
      <c r="G207" s="132">
        <f t="shared" si="31"/>
        <v>10.203067538126364</v>
      </c>
      <c r="H207" s="132">
        <f t="shared" si="31"/>
        <v>9.0729847494553386</v>
      </c>
      <c r="I207" s="132">
        <f t="shared" si="31"/>
        <v>9.0729847494553386</v>
      </c>
      <c r="J207" s="65"/>
      <c r="K207" s="138"/>
    </row>
    <row r="208" spans="1:12" ht="25.5" x14ac:dyDescent="0.25">
      <c r="A208" s="75" t="s">
        <v>79</v>
      </c>
      <c r="B208" s="42">
        <v>6030</v>
      </c>
      <c r="C208" s="64"/>
      <c r="D208" s="5"/>
      <c r="E208" s="46"/>
      <c r="F208" s="43"/>
      <c r="G208" s="43"/>
      <c r="H208" s="46"/>
      <c r="I208" s="43"/>
      <c r="J208" s="65"/>
    </row>
    <row r="209" spans="1:10" x14ac:dyDescent="0.25">
      <c r="A209" s="74" t="s">
        <v>101</v>
      </c>
      <c r="B209" s="111"/>
      <c r="C209" s="122"/>
      <c r="D209" s="4"/>
      <c r="E209" s="123"/>
      <c r="F209" s="4"/>
      <c r="G209" s="4"/>
      <c r="H209" s="123"/>
      <c r="I209" s="4"/>
      <c r="J209" s="111"/>
    </row>
    <row r="210" spans="1:10" x14ac:dyDescent="0.25">
      <c r="A210" s="75" t="s">
        <v>85</v>
      </c>
      <c r="B210" s="111">
        <v>6070</v>
      </c>
      <c r="C210" s="122"/>
      <c r="D210" s="4"/>
      <c r="E210" s="123"/>
      <c r="F210" s="4"/>
      <c r="G210" s="4"/>
      <c r="H210" s="123"/>
      <c r="I210" s="4"/>
      <c r="J210" s="111"/>
    </row>
    <row r="211" spans="1:10" x14ac:dyDescent="0.25">
      <c r="A211" s="75" t="s">
        <v>86</v>
      </c>
      <c r="B211" s="111">
        <v>6080</v>
      </c>
      <c r="C211" s="122"/>
      <c r="D211" s="4"/>
      <c r="E211" s="123"/>
      <c r="F211" s="4"/>
      <c r="G211" s="4"/>
      <c r="H211" s="123"/>
      <c r="I211" s="4"/>
      <c r="J211" s="111"/>
    </row>
    <row r="212" spans="1:10" x14ac:dyDescent="0.25">
      <c r="A212" s="140" t="s">
        <v>318</v>
      </c>
      <c r="B212" s="111">
        <v>6090</v>
      </c>
      <c r="C212" s="122"/>
      <c r="D212" s="106"/>
      <c r="E212" s="104">
        <v>52095.81</v>
      </c>
      <c r="F212" s="104"/>
      <c r="G212" s="104"/>
      <c r="H212" s="104"/>
      <c r="I212" s="104"/>
      <c r="J212" s="111"/>
    </row>
    <row r="213" spans="1:10" x14ac:dyDescent="0.25">
      <c r="A213" s="141"/>
      <c r="B213" s="141"/>
      <c r="C213" s="142"/>
      <c r="D213" s="141"/>
      <c r="E213" s="143"/>
      <c r="F213" s="141"/>
      <c r="G213" s="3"/>
      <c r="H213" s="49"/>
      <c r="I213" s="3"/>
      <c r="J213" s="144"/>
    </row>
    <row r="214" spans="1:10" ht="14.65" customHeight="1" thickBot="1" x14ac:dyDescent="0.3">
      <c r="A214" s="267" t="s">
        <v>376</v>
      </c>
      <c r="B214" s="273"/>
      <c r="C214" s="274"/>
      <c r="D214" s="371"/>
      <c r="E214" s="371"/>
      <c r="F214" s="372" t="s">
        <v>500</v>
      </c>
      <c r="G214" s="373"/>
      <c r="H214" s="373"/>
      <c r="I214" s="373"/>
      <c r="J214" s="144"/>
    </row>
    <row r="215" spans="1:10" x14ac:dyDescent="0.25">
      <c r="A215" s="267"/>
      <c r="B215" s="1"/>
      <c r="C215" s="272"/>
      <c r="D215" s="342"/>
      <c r="E215" s="342"/>
      <c r="F215" s="7"/>
      <c r="G215" s="342"/>
      <c r="H215" s="342"/>
      <c r="I215" s="342"/>
      <c r="J215" s="144"/>
    </row>
    <row r="216" spans="1:10" ht="15.75" thickBot="1" x14ac:dyDescent="0.3">
      <c r="A216" s="267" t="s">
        <v>371</v>
      </c>
      <c r="B216" s="275"/>
      <c r="C216" s="276"/>
      <c r="D216" s="3"/>
      <c r="E216" s="49"/>
      <c r="F216" s="3"/>
      <c r="G216" s="3"/>
      <c r="H216" s="49"/>
      <c r="I216" s="3"/>
      <c r="J216" s="144"/>
    </row>
    <row r="217" spans="1:10" x14ac:dyDescent="0.25">
      <c r="A217" s="8"/>
      <c r="B217" s="3"/>
      <c r="C217" s="146"/>
      <c r="D217" s="3"/>
      <c r="E217" s="49"/>
      <c r="F217" s="369" t="s">
        <v>381</v>
      </c>
      <c r="G217" s="369"/>
      <c r="H217" s="49"/>
      <c r="I217" s="3"/>
      <c r="J217" s="144"/>
    </row>
    <row r="218" spans="1:10" ht="14.65" customHeight="1" x14ac:dyDescent="0.25">
      <c r="A218" s="3"/>
      <c r="B218" s="3"/>
      <c r="C218" s="146"/>
      <c r="D218" s="3"/>
      <c r="E218" s="49"/>
      <c r="F218" s="3"/>
      <c r="G218" s="3"/>
      <c r="H218" s="49"/>
      <c r="I218" s="3"/>
      <c r="J218" s="144"/>
    </row>
    <row r="219" spans="1:10" x14ac:dyDescent="0.25">
      <c r="A219" s="3"/>
      <c r="B219" s="3"/>
      <c r="C219" s="146"/>
      <c r="D219" s="3"/>
      <c r="E219" s="49"/>
      <c r="F219" s="3"/>
      <c r="G219" s="3"/>
      <c r="H219" s="49"/>
      <c r="I219" s="3"/>
      <c r="J219" s="144"/>
    </row>
    <row r="220" spans="1:10" x14ac:dyDescent="0.25">
      <c r="A220" s="3"/>
      <c r="B220" s="3"/>
      <c r="C220" s="146"/>
      <c r="D220" s="3"/>
      <c r="E220" s="49"/>
      <c r="F220" s="3"/>
      <c r="G220" s="3"/>
      <c r="H220" s="49"/>
      <c r="I220" s="3"/>
      <c r="J220" s="144"/>
    </row>
    <row r="221" spans="1:10" x14ac:dyDescent="0.25">
      <c r="A221" s="3"/>
      <c r="B221" s="3"/>
      <c r="C221" s="146"/>
      <c r="D221" s="3"/>
      <c r="E221" s="49"/>
      <c r="F221" s="3"/>
      <c r="G221" s="3"/>
      <c r="H221" s="49"/>
      <c r="I221" s="3"/>
      <c r="J221" s="144"/>
    </row>
    <row r="222" spans="1:10" x14ac:dyDescent="0.25">
      <c r="A222" s="3"/>
      <c r="B222" s="3"/>
      <c r="C222" s="146"/>
      <c r="D222" s="3"/>
      <c r="E222" s="49"/>
      <c r="F222" s="3"/>
      <c r="G222" s="3"/>
      <c r="H222" s="49"/>
      <c r="I222" s="3"/>
      <c r="J222" s="144"/>
    </row>
    <row r="223" spans="1:10" x14ac:dyDescent="0.25">
      <c r="A223" s="3"/>
      <c r="B223" s="3"/>
      <c r="C223" s="146"/>
      <c r="D223" s="3"/>
      <c r="E223" s="49"/>
      <c r="F223" s="3"/>
      <c r="G223" s="3"/>
      <c r="H223" s="49"/>
      <c r="I223" s="3"/>
      <c r="J223" s="144"/>
    </row>
    <row r="224" spans="1:10" x14ac:dyDescent="0.25">
      <c r="A224" s="3"/>
      <c r="B224" s="3"/>
      <c r="C224" s="146"/>
      <c r="D224" s="3"/>
      <c r="E224" s="49"/>
      <c r="F224" s="3"/>
      <c r="G224" s="3"/>
      <c r="H224" s="49"/>
      <c r="I224" s="3"/>
      <c r="J224" s="144"/>
    </row>
    <row r="225" spans="3:10" x14ac:dyDescent="0.25">
      <c r="J225" s="144"/>
    </row>
    <row r="226" spans="3:10" x14ac:dyDescent="0.25">
      <c r="J226" s="144"/>
    </row>
    <row r="227" spans="3:10" x14ac:dyDescent="0.25">
      <c r="J227" s="144"/>
    </row>
    <row r="228" spans="3:10" x14ac:dyDescent="0.25">
      <c r="J228" s="144"/>
    </row>
    <row r="229" spans="3:10" x14ac:dyDescent="0.25">
      <c r="J229" s="144"/>
    </row>
    <row r="230" spans="3:10" x14ac:dyDescent="0.25">
      <c r="J230" s="144"/>
    </row>
    <row r="231" spans="3:10" x14ac:dyDescent="0.25">
      <c r="J231" s="144"/>
    </row>
    <row r="232" spans="3:10" x14ac:dyDescent="0.25">
      <c r="J232" s="144"/>
    </row>
    <row r="233" spans="3:10" x14ac:dyDescent="0.25">
      <c r="J233" s="144"/>
    </row>
    <row r="234" spans="3:10" x14ac:dyDescent="0.25">
      <c r="J234" s="144"/>
    </row>
    <row r="235" spans="3:10" x14ac:dyDescent="0.25">
      <c r="J235" s="144"/>
    </row>
    <row r="236" spans="3:10" x14ac:dyDescent="0.25">
      <c r="J236" s="144"/>
    </row>
    <row r="237" spans="3:10" x14ac:dyDescent="0.25">
      <c r="J237" s="144"/>
    </row>
    <row r="238" spans="3:10" x14ac:dyDescent="0.25">
      <c r="J238" s="144"/>
    </row>
    <row r="239" spans="3:10" x14ac:dyDescent="0.25">
      <c r="C239"/>
      <c r="E239"/>
      <c r="J239" s="144"/>
    </row>
    <row r="240" spans="3:10" x14ac:dyDescent="0.25">
      <c r="C240"/>
      <c r="E240"/>
      <c r="J240" s="144"/>
    </row>
    <row r="241" spans="3:10" x14ac:dyDescent="0.25">
      <c r="C241"/>
      <c r="E241"/>
      <c r="J241" s="144"/>
    </row>
    <row r="242" spans="3:10" x14ac:dyDescent="0.25">
      <c r="C242"/>
      <c r="E242"/>
      <c r="J242" s="144"/>
    </row>
    <row r="243" spans="3:10" x14ac:dyDescent="0.25">
      <c r="C243"/>
      <c r="E243"/>
      <c r="J243" s="144"/>
    </row>
    <row r="244" spans="3:10" x14ac:dyDescent="0.25">
      <c r="C244"/>
      <c r="E244"/>
      <c r="J244" s="144"/>
    </row>
    <row r="245" spans="3:10" x14ac:dyDescent="0.25">
      <c r="C245"/>
      <c r="E245"/>
      <c r="J245" s="144"/>
    </row>
    <row r="246" spans="3:10" x14ac:dyDescent="0.25">
      <c r="C246"/>
      <c r="E246"/>
      <c r="J246" s="144"/>
    </row>
    <row r="247" spans="3:10" x14ac:dyDescent="0.25">
      <c r="C247"/>
      <c r="E247"/>
      <c r="J247" s="144"/>
    </row>
    <row r="248" spans="3:10" x14ac:dyDescent="0.25">
      <c r="C248"/>
      <c r="E248"/>
      <c r="J248" s="144"/>
    </row>
    <row r="249" spans="3:10" x14ac:dyDescent="0.25">
      <c r="C249"/>
      <c r="E249"/>
      <c r="J249" s="144"/>
    </row>
    <row r="250" spans="3:10" x14ac:dyDescent="0.25">
      <c r="C250"/>
      <c r="E250"/>
      <c r="J250" s="144"/>
    </row>
    <row r="251" spans="3:10" x14ac:dyDescent="0.25">
      <c r="C251"/>
      <c r="E251"/>
      <c r="J251" s="144"/>
    </row>
    <row r="252" spans="3:10" x14ac:dyDescent="0.25">
      <c r="C252"/>
      <c r="E252"/>
      <c r="J252" s="144"/>
    </row>
    <row r="253" spans="3:10" x14ac:dyDescent="0.25">
      <c r="C253"/>
      <c r="E253"/>
      <c r="J253" s="144"/>
    </row>
    <row r="254" spans="3:10" x14ac:dyDescent="0.25">
      <c r="C254"/>
      <c r="E254"/>
      <c r="J254" s="144"/>
    </row>
    <row r="255" spans="3:10" x14ac:dyDescent="0.25">
      <c r="C255"/>
      <c r="E255"/>
      <c r="J255" s="144"/>
    </row>
    <row r="256" spans="3:10" x14ac:dyDescent="0.25">
      <c r="C256"/>
      <c r="E256"/>
      <c r="J256" s="144"/>
    </row>
    <row r="257" spans="3:10" x14ac:dyDescent="0.25">
      <c r="C257"/>
      <c r="E257"/>
      <c r="J257" s="144"/>
    </row>
    <row r="258" spans="3:10" x14ac:dyDescent="0.25">
      <c r="C258"/>
      <c r="E258"/>
      <c r="J258" s="144"/>
    </row>
    <row r="259" spans="3:10" x14ac:dyDescent="0.25">
      <c r="C259"/>
      <c r="E259"/>
      <c r="J259" s="144"/>
    </row>
    <row r="260" spans="3:10" x14ac:dyDescent="0.25">
      <c r="C260"/>
      <c r="E260"/>
      <c r="J260" s="144"/>
    </row>
    <row r="261" spans="3:10" x14ac:dyDescent="0.25">
      <c r="C261"/>
      <c r="E261"/>
      <c r="J261" s="144"/>
    </row>
    <row r="262" spans="3:10" x14ac:dyDescent="0.25">
      <c r="C262"/>
      <c r="E262"/>
      <c r="J262" s="144"/>
    </row>
    <row r="263" spans="3:10" x14ac:dyDescent="0.25">
      <c r="C263"/>
      <c r="E263"/>
      <c r="J263" s="144"/>
    </row>
    <row r="264" spans="3:10" x14ac:dyDescent="0.25">
      <c r="C264"/>
      <c r="E264"/>
      <c r="J264" s="144"/>
    </row>
    <row r="265" spans="3:10" x14ac:dyDescent="0.25">
      <c r="C265"/>
      <c r="E265"/>
      <c r="J265" s="144"/>
    </row>
    <row r="266" spans="3:10" x14ac:dyDescent="0.25">
      <c r="C266"/>
      <c r="E266"/>
      <c r="J266" s="144"/>
    </row>
    <row r="267" spans="3:10" x14ac:dyDescent="0.25">
      <c r="C267"/>
      <c r="E267"/>
      <c r="J267" s="144"/>
    </row>
    <row r="268" spans="3:10" x14ac:dyDescent="0.25">
      <c r="C268"/>
      <c r="E268"/>
      <c r="J268" s="144"/>
    </row>
    <row r="269" spans="3:10" x14ac:dyDescent="0.25">
      <c r="C269"/>
      <c r="E269"/>
      <c r="J269" s="144"/>
    </row>
    <row r="270" spans="3:10" x14ac:dyDescent="0.25">
      <c r="C270"/>
      <c r="E270"/>
      <c r="J270" s="144"/>
    </row>
    <row r="271" spans="3:10" x14ac:dyDescent="0.25">
      <c r="C271"/>
      <c r="E271"/>
      <c r="J271" s="144"/>
    </row>
    <row r="272" spans="3:10" x14ac:dyDescent="0.25">
      <c r="C272"/>
      <c r="E272"/>
      <c r="J272" s="144"/>
    </row>
    <row r="273" spans="3:10" x14ac:dyDescent="0.25">
      <c r="C273"/>
      <c r="E273"/>
      <c r="J273" s="144"/>
    </row>
    <row r="274" spans="3:10" x14ac:dyDescent="0.25">
      <c r="C274"/>
      <c r="E274"/>
      <c r="J274" s="144"/>
    </row>
    <row r="275" spans="3:10" x14ac:dyDescent="0.25">
      <c r="C275"/>
      <c r="E275"/>
      <c r="J275" s="144"/>
    </row>
    <row r="276" spans="3:10" x14ac:dyDescent="0.25">
      <c r="C276"/>
      <c r="E276"/>
      <c r="J276" s="144"/>
    </row>
    <row r="277" spans="3:10" x14ac:dyDescent="0.25">
      <c r="C277"/>
      <c r="E277"/>
      <c r="J277" s="144"/>
    </row>
    <row r="278" spans="3:10" x14ac:dyDescent="0.25">
      <c r="C278"/>
      <c r="E278"/>
      <c r="J278" s="144"/>
    </row>
    <row r="279" spans="3:10" x14ac:dyDescent="0.25">
      <c r="C279"/>
      <c r="E279"/>
      <c r="J279" s="144"/>
    </row>
    <row r="280" spans="3:10" x14ac:dyDescent="0.25">
      <c r="C280"/>
      <c r="E280"/>
      <c r="J280" s="144"/>
    </row>
    <row r="281" spans="3:10" x14ac:dyDescent="0.25">
      <c r="C281"/>
      <c r="E281"/>
      <c r="J281" s="144"/>
    </row>
    <row r="282" spans="3:10" x14ac:dyDescent="0.25">
      <c r="C282"/>
      <c r="E282"/>
      <c r="J282" s="144"/>
    </row>
    <row r="283" spans="3:10" x14ac:dyDescent="0.25">
      <c r="C283"/>
      <c r="E283"/>
      <c r="J283" s="144"/>
    </row>
    <row r="284" spans="3:10" x14ac:dyDescent="0.25">
      <c r="C284"/>
      <c r="E284"/>
      <c r="J284" s="144"/>
    </row>
    <row r="285" spans="3:10" x14ac:dyDescent="0.25">
      <c r="C285"/>
      <c r="E285"/>
      <c r="J285" s="144"/>
    </row>
    <row r="286" spans="3:10" x14ac:dyDescent="0.25">
      <c r="C286"/>
      <c r="E286"/>
      <c r="J286" s="144"/>
    </row>
    <row r="287" spans="3:10" x14ac:dyDescent="0.25">
      <c r="C287"/>
      <c r="E287"/>
      <c r="J287" s="144"/>
    </row>
    <row r="288" spans="3:10" x14ac:dyDescent="0.25">
      <c r="C288"/>
      <c r="E288"/>
      <c r="J288" s="144"/>
    </row>
    <row r="289" spans="3:10" x14ac:dyDescent="0.25">
      <c r="C289"/>
      <c r="E289"/>
      <c r="J289" s="144"/>
    </row>
    <row r="290" spans="3:10" x14ac:dyDescent="0.25">
      <c r="C290"/>
      <c r="E290"/>
      <c r="J290" s="144"/>
    </row>
    <row r="291" spans="3:10" x14ac:dyDescent="0.25">
      <c r="C291"/>
      <c r="E291"/>
      <c r="J291" s="144"/>
    </row>
    <row r="292" spans="3:10" x14ac:dyDescent="0.25">
      <c r="C292"/>
      <c r="E292"/>
      <c r="J292" s="144"/>
    </row>
    <row r="293" spans="3:10" x14ac:dyDescent="0.25">
      <c r="C293"/>
      <c r="E293"/>
      <c r="J293" s="144"/>
    </row>
    <row r="294" spans="3:10" x14ac:dyDescent="0.25">
      <c r="C294"/>
      <c r="E294"/>
      <c r="J294" s="144"/>
    </row>
    <row r="295" spans="3:10" x14ac:dyDescent="0.25">
      <c r="C295"/>
      <c r="E295"/>
      <c r="J295" s="144"/>
    </row>
    <row r="296" spans="3:10" x14ac:dyDescent="0.25">
      <c r="C296"/>
      <c r="E296"/>
      <c r="J296" s="144"/>
    </row>
    <row r="297" spans="3:10" x14ac:dyDescent="0.25">
      <c r="C297"/>
      <c r="E297"/>
      <c r="J297" s="144"/>
    </row>
    <row r="298" spans="3:10" x14ac:dyDescent="0.25">
      <c r="C298"/>
      <c r="E298"/>
      <c r="J298" s="144"/>
    </row>
    <row r="299" spans="3:10" x14ac:dyDescent="0.25">
      <c r="C299"/>
      <c r="E299"/>
      <c r="J299" s="144"/>
    </row>
    <row r="300" spans="3:10" x14ac:dyDescent="0.25">
      <c r="C300"/>
      <c r="E300"/>
      <c r="J300" s="144"/>
    </row>
    <row r="301" spans="3:10" x14ac:dyDescent="0.25">
      <c r="C301"/>
      <c r="E301"/>
      <c r="J301" s="144"/>
    </row>
    <row r="302" spans="3:10" x14ac:dyDescent="0.25">
      <c r="C302"/>
      <c r="E302"/>
      <c r="J302" s="144"/>
    </row>
    <row r="303" spans="3:10" x14ac:dyDescent="0.25">
      <c r="C303"/>
      <c r="E303"/>
      <c r="J303" s="144"/>
    </row>
    <row r="304" spans="3:10" x14ac:dyDescent="0.25">
      <c r="C304"/>
      <c r="E304"/>
      <c r="J304" s="144"/>
    </row>
    <row r="305" spans="3:10" x14ac:dyDescent="0.25">
      <c r="C305"/>
      <c r="E305"/>
      <c r="J305" s="144"/>
    </row>
    <row r="306" spans="3:10" x14ac:dyDescent="0.25">
      <c r="C306"/>
      <c r="E306"/>
      <c r="J306" s="144"/>
    </row>
    <row r="307" spans="3:10" x14ac:dyDescent="0.25">
      <c r="C307"/>
      <c r="E307"/>
      <c r="J307" s="144"/>
    </row>
    <row r="308" spans="3:10" x14ac:dyDescent="0.25">
      <c r="C308"/>
      <c r="E308"/>
      <c r="J308" s="144"/>
    </row>
    <row r="309" spans="3:10" x14ac:dyDescent="0.25">
      <c r="C309"/>
      <c r="E309"/>
      <c r="J309" s="144"/>
    </row>
    <row r="310" spans="3:10" x14ac:dyDescent="0.25">
      <c r="C310"/>
      <c r="E310"/>
      <c r="J310" s="144"/>
    </row>
    <row r="311" spans="3:10" x14ac:dyDescent="0.25">
      <c r="C311"/>
      <c r="E311"/>
      <c r="J311" s="144"/>
    </row>
    <row r="312" spans="3:10" x14ac:dyDescent="0.25">
      <c r="C312"/>
      <c r="E312"/>
      <c r="J312" s="144"/>
    </row>
    <row r="313" spans="3:10" x14ac:dyDescent="0.25">
      <c r="C313"/>
      <c r="E313"/>
      <c r="J313" s="144"/>
    </row>
    <row r="314" spans="3:10" x14ac:dyDescent="0.25">
      <c r="C314"/>
      <c r="E314"/>
      <c r="J314" s="144"/>
    </row>
    <row r="315" spans="3:10" x14ac:dyDescent="0.25">
      <c r="C315"/>
      <c r="E315"/>
      <c r="J315" s="144"/>
    </row>
  </sheetData>
  <mergeCells count="103">
    <mergeCell ref="F217:G217"/>
    <mergeCell ref="A161:J161"/>
    <mergeCell ref="A172:J172"/>
    <mergeCell ref="A175:A176"/>
    <mergeCell ref="B175:B176"/>
    <mergeCell ref="C175:C176"/>
    <mergeCell ref="D175:D176"/>
    <mergeCell ref="E175:E176"/>
    <mergeCell ref="F175:I175"/>
    <mergeCell ref="J175:J176"/>
    <mergeCell ref="D214:E214"/>
    <mergeCell ref="D215:E215"/>
    <mergeCell ref="G215:I215"/>
    <mergeCell ref="A182:J182"/>
    <mergeCell ref="A199:A200"/>
    <mergeCell ref="B199:B200"/>
    <mergeCell ref="C199:C200"/>
    <mergeCell ref="D199:D200"/>
    <mergeCell ref="E199:E200"/>
    <mergeCell ref="F199:I199"/>
    <mergeCell ref="J199:J200"/>
    <mergeCell ref="F214:I214"/>
    <mergeCell ref="A129:J129"/>
    <mergeCell ref="A141:J141"/>
    <mergeCell ref="A145:A146"/>
    <mergeCell ref="B145:B146"/>
    <mergeCell ref="C145:C146"/>
    <mergeCell ref="D145:D146"/>
    <mergeCell ref="E145:E146"/>
    <mergeCell ref="F145:I145"/>
    <mergeCell ref="J145:J146"/>
    <mergeCell ref="A70:J70"/>
    <mergeCell ref="A105:A106"/>
    <mergeCell ref="B105:B106"/>
    <mergeCell ref="C105:C106"/>
    <mergeCell ref="D105:D106"/>
    <mergeCell ref="E105:E106"/>
    <mergeCell ref="F105:I105"/>
    <mergeCell ref="J105:J106"/>
    <mergeCell ref="J126:J127"/>
    <mergeCell ref="A126:A127"/>
    <mergeCell ref="B126:B127"/>
    <mergeCell ref="C126:C127"/>
    <mergeCell ref="D126:D127"/>
    <mergeCell ref="E126:E127"/>
    <mergeCell ref="F126:I126"/>
    <mergeCell ref="K30:K31"/>
    <mergeCell ref="A33:J33"/>
    <mergeCell ref="A34:J34"/>
    <mergeCell ref="A50:A51"/>
    <mergeCell ref="B50:B51"/>
    <mergeCell ref="C50:C51"/>
    <mergeCell ref="D50:D51"/>
    <mergeCell ref="E50:E51"/>
    <mergeCell ref="F50:I50"/>
    <mergeCell ref="J50:J51"/>
    <mergeCell ref="B26:E26"/>
    <mergeCell ref="I26:J26"/>
    <mergeCell ref="A28:I28"/>
    <mergeCell ref="I29:J29"/>
    <mergeCell ref="A30:A31"/>
    <mergeCell ref="B30:B31"/>
    <mergeCell ref="C30:C31"/>
    <mergeCell ref="D30:D31"/>
    <mergeCell ref="E30:E31"/>
    <mergeCell ref="F30:I30"/>
    <mergeCell ref="J30:J31"/>
    <mergeCell ref="B23:E23"/>
    <mergeCell ref="I23:J23"/>
    <mergeCell ref="B24:F24"/>
    <mergeCell ref="I24:J24"/>
    <mergeCell ref="B25:E25"/>
    <mergeCell ref="I25:J25"/>
    <mergeCell ref="B21:E21"/>
    <mergeCell ref="F21:H21"/>
    <mergeCell ref="I21:J21"/>
    <mergeCell ref="B22:E22"/>
    <mergeCell ref="F22:H22"/>
    <mergeCell ref="I22:J22"/>
    <mergeCell ref="B18:E18"/>
    <mergeCell ref="I18:J18"/>
    <mergeCell ref="B19:E19"/>
    <mergeCell ref="I19:J19"/>
    <mergeCell ref="B20:E20"/>
    <mergeCell ref="I20:J20"/>
    <mergeCell ref="B15:F15"/>
    <mergeCell ref="I15:J15"/>
    <mergeCell ref="B16:E16"/>
    <mergeCell ref="I16:J16"/>
    <mergeCell ref="B17:E17"/>
    <mergeCell ref="I17:J17"/>
    <mergeCell ref="I10:J10"/>
    <mergeCell ref="I11:J11"/>
    <mergeCell ref="I12:J12"/>
    <mergeCell ref="H13:J13"/>
    <mergeCell ref="B14:E14"/>
    <mergeCell ref="H14:J14"/>
    <mergeCell ref="H2:I2"/>
    <mergeCell ref="H4:J4"/>
    <mergeCell ref="H5:J5"/>
    <mergeCell ref="H6:J6"/>
    <mergeCell ref="H7:J7"/>
    <mergeCell ref="H8:J8"/>
  </mergeCells>
  <pageMargins left="0.70866141732283472" right="0.70866141732283472" top="0.74803149606299213" bottom="0.74803149606299213" header="0.31496062992125984" footer="0.31496062992125984"/>
  <pageSetup paperSize="9" scale="80" fitToHeight="7" orientation="landscape" r:id="rId1"/>
  <rowBreaks count="1" manualBreakCount="1">
    <brk id="2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9"/>
  <sheetViews>
    <sheetView zoomScale="75" zoomScaleNormal="75" workbookViewId="0">
      <selection activeCell="R11" sqref="R11"/>
    </sheetView>
  </sheetViews>
  <sheetFormatPr defaultRowHeight="15" x14ac:dyDescent="0.25"/>
  <cols>
    <col min="1" max="1" width="5.140625" customWidth="1"/>
    <col min="2" max="2" width="25.140625" customWidth="1"/>
    <col min="3" max="3" width="15.28515625" customWidth="1"/>
    <col min="5" max="5" width="6.85546875" customWidth="1"/>
    <col min="6" max="8" width="7" customWidth="1"/>
    <col min="10" max="11" width="7.5703125" customWidth="1"/>
    <col min="12" max="12" width="7.28515625" customWidth="1"/>
    <col min="13" max="13" width="7.5703125" customWidth="1"/>
    <col min="15" max="15" width="10.42578125" customWidth="1"/>
    <col min="16" max="16" width="11" customWidth="1"/>
    <col min="17" max="17" width="10.5703125" customWidth="1"/>
    <col min="18" max="18" width="9.42578125" customWidth="1"/>
    <col min="19" max="19" width="9.85546875" customWidth="1"/>
    <col min="20" max="20" width="8.5703125" customWidth="1"/>
    <col min="21" max="21" width="8.28515625" customWidth="1"/>
    <col min="22" max="22" width="9.85546875" customWidth="1"/>
    <col min="23" max="23" width="8.85546875" customWidth="1"/>
    <col min="24" max="24" width="10.140625" customWidth="1"/>
    <col min="25" max="25" width="9" customWidth="1"/>
    <col min="26" max="26" width="9.85546875" customWidth="1"/>
    <col min="27" max="27" width="10.5703125" customWidth="1"/>
    <col min="28" max="28" width="9" customWidth="1"/>
  </cols>
  <sheetData>
    <row r="1" spans="1:28" x14ac:dyDescent="0.25">
      <c r="U1" s="378" t="s">
        <v>506</v>
      </c>
      <c r="V1" s="378"/>
      <c r="W1" s="378"/>
      <c r="X1" s="378"/>
      <c r="Y1" s="378"/>
      <c r="Z1" s="378"/>
      <c r="AA1" s="378"/>
      <c r="AB1" s="378"/>
    </row>
    <row r="2" spans="1:28" x14ac:dyDescent="0.25">
      <c r="U2" s="378" t="s">
        <v>150</v>
      </c>
      <c r="V2" s="378"/>
      <c r="W2" s="378"/>
      <c r="X2" s="378"/>
      <c r="Y2" s="378"/>
      <c r="Z2" s="378"/>
      <c r="AA2" s="378"/>
      <c r="AB2" s="378"/>
    </row>
    <row r="3" spans="1:28" x14ac:dyDescent="0.25">
      <c r="A3" s="381" t="s">
        <v>130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</row>
    <row r="4" spans="1:28" x14ac:dyDescent="0.25">
      <c r="A4" s="383" t="s">
        <v>132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</row>
    <row r="5" spans="1:2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382" t="s">
        <v>131</v>
      </c>
      <c r="Z5" s="382"/>
      <c r="AA5" s="382"/>
      <c r="AB5" s="382"/>
    </row>
    <row r="6" spans="1:28" ht="45" customHeight="1" x14ac:dyDescent="0.25">
      <c r="A6" s="374" t="s">
        <v>111</v>
      </c>
      <c r="B6" s="374" t="s">
        <v>133</v>
      </c>
      <c r="C6" s="375" t="s">
        <v>259</v>
      </c>
      <c r="D6" s="374" t="s">
        <v>113</v>
      </c>
      <c r="E6" s="374"/>
      <c r="F6" s="374"/>
      <c r="G6" s="374"/>
      <c r="H6" s="374"/>
      <c r="I6" s="374" t="s">
        <v>120</v>
      </c>
      <c r="J6" s="374"/>
      <c r="K6" s="374"/>
      <c r="L6" s="374"/>
      <c r="M6" s="374"/>
      <c r="N6" s="374" t="s">
        <v>367</v>
      </c>
      <c r="O6" s="374"/>
      <c r="P6" s="374"/>
      <c r="Q6" s="374"/>
      <c r="R6" s="374"/>
      <c r="S6" s="374" t="s">
        <v>366</v>
      </c>
      <c r="T6" s="374"/>
      <c r="U6" s="374"/>
      <c r="V6" s="374"/>
      <c r="W6" s="374"/>
      <c r="X6" s="374" t="s">
        <v>121</v>
      </c>
      <c r="Y6" s="374"/>
      <c r="Z6" s="374"/>
      <c r="AA6" s="374"/>
      <c r="AB6" s="374"/>
    </row>
    <row r="7" spans="1:28" x14ac:dyDescent="0.25">
      <c r="A7" s="374"/>
      <c r="B7" s="374"/>
      <c r="C7" s="376"/>
      <c r="D7" s="374" t="s">
        <v>114</v>
      </c>
      <c r="E7" s="374" t="s">
        <v>115</v>
      </c>
      <c r="F7" s="374"/>
      <c r="G7" s="374"/>
      <c r="H7" s="374"/>
      <c r="I7" s="374" t="s">
        <v>114</v>
      </c>
      <c r="J7" s="374" t="s">
        <v>115</v>
      </c>
      <c r="K7" s="374"/>
      <c r="L7" s="374"/>
      <c r="M7" s="374"/>
      <c r="N7" s="374" t="s">
        <v>114</v>
      </c>
      <c r="O7" s="374" t="s">
        <v>115</v>
      </c>
      <c r="P7" s="374"/>
      <c r="Q7" s="374"/>
      <c r="R7" s="374"/>
      <c r="S7" s="374" t="s">
        <v>114</v>
      </c>
      <c r="T7" s="374" t="s">
        <v>115</v>
      </c>
      <c r="U7" s="374"/>
      <c r="V7" s="374"/>
      <c r="W7" s="374"/>
      <c r="X7" s="374" t="s">
        <v>114</v>
      </c>
      <c r="Y7" s="374" t="s">
        <v>115</v>
      </c>
      <c r="Z7" s="374"/>
      <c r="AA7" s="374"/>
      <c r="AB7" s="374"/>
    </row>
    <row r="8" spans="1:28" x14ac:dyDescent="0.25">
      <c r="A8" s="374"/>
      <c r="B8" s="374"/>
      <c r="C8" s="377"/>
      <c r="D8" s="374"/>
      <c r="E8" s="12" t="s">
        <v>116</v>
      </c>
      <c r="F8" s="12" t="s">
        <v>117</v>
      </c>
      <c r="G8" s="12" t="s">
        <v>118</v>
      </c>
      <c r="H8" s="12" t="s">
        <v>119</v>
      </c>
      <c r="I8" s="374"/>
      <c r="J8" s="12" t="s">
        <v>116</v>
      </c>
      <c r="K8" s="12" t="s">
        <v>117</v>
      </c>
      <c r="L8" s="12" t="s">
        <v>118</v>
      </c>
      <c r="M8" s="12" t="s">
        <v>119</v>
      </c>
      <c r="N8" s="374"/>
      <c r="O8" s="12" t="s">
        <v>116</v>
      </c>
      <c r="P8" s="12" t="s">
        <v>117</v>
      </c>
      <c r="Q8" s="12" t="s">
        <v>118</v>
      </c>
      <c r="R8" s="12" t="s">
        <v>119</v>
      </c>
      <c r="S8" s="374"/>
      <c r="T8" s="12" t="s">
        <v>116</v>
      </c>
      <c r="U8" s="12" t="s">
        <v>117</v>
      </c>
      <c r="V8" s="12" t="s">
        <v>118</v>
      </c>
      <c r="W8" s="12" t="s">
        <v>119</v>
      </c>
      <c r="X8" s="374"/>
      <c r="Y8" s="12" t="s">
        <v>116</v>
      </c>
      <c r="Z8" s="12" t="s">
        <v>117</v>
      </c>
      <c r="AA8" s="12" t="s">
        <v>118</v>
      </c>
      <c r="AB8" s="12" t="s">
        <v>119</v>
      </c>
    </row>
    <row r="9" spans="1:28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>
        <v>15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>
        <v>21</v>
      </c>
      <c r="V9" s="12">
        <v>22</v>
      </c>
      <c r="W9" s="12">
        <v>23</v>
      </c>
      <c r="X9" s="12">
        <v>24</v>
      </c>
      <c r="Y9" s="12">
        <v>25</v>
      </c>
      <c r="Z9" s="12">
        <v>26</v>
      </c>
      <c r="AA9" s="12">
        <v>27</v>
      </c>
      <c r="AB9" s="12">
        <v>28</v>
      </c>
    </row>
    <row r="10" spans="1:28" x14ac:dyDescent="0.25">
      <c r="A10" s="12">
        <v>1</v>
      </c>
      <c r="B10" s="13" t="s">
        <v>60</v>
      </c>
      <c r="C10" s="12">
        <v>3110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22"/>
      <c r="O10" s="12"/>
      <c r="P10" s="12"/>
      <c r="Q10" s="22"/>
      <c r="R10" s="12"/>
      <c r="S10" s="12"/>
      <c r="T10" s="12"/>
      <c r="U10" s="12"/>
      <c r="V10" s="12"/>
      <c r="W10" s="12"/>
      <c r="X10" s="12"/>
      <c r="Y10" s="12">
        <f>O10+T10</f>
        <v>0</v>
      </c>
      <c r="Z10" s="12">
        <f t="shared" ref="Z10:AB11" si="0">P10+U10</f>
        <v>0</v>
      </c>
      <c r="AA10" s="12">
        <f t="shared" si="0"/>
        <v>0</v>
      </c>
      <c r="AB10" s="12">
        <f t="shared" si="0"/>
        <v>0</v>
      </c>
    </row>
    <row r="11" spans="1:28" ht="45" x14ac:dyDescent="0.25">
      <c r="A11" s="12">
        <v>2</v>
      </c>
      <c r="B11" s="13" t="s">
        <v>122</v>
      </c>
      <c r="C11" s="12">
        <v>3120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4">
        <f>O11+P11+Q11+R11</f>
        <v>619.99699999999996</v>
      </c>
      <c r="O11" s="24">
        <v>0</v>
      </c>
      <c r="P11" s="24">
        <v>0</v>
      </c>
      <c r="Q11" s="24"/>
      <c r="R11" s="24">
        <v>619.99699999999996</v>
      </c>
      <c r="S11" s="24">
        <f>T11+U11+V11+W11</f>
        <v>1502.3620000000001</v>
      </c>
      <c r="T11" s="24">
        <v>410.30700000000002</v>
      </c>
      <c r="U11" s="24">
        <v>572</v>
      </c>
      <c r="V11" s="24">
        <v>520.05499999999995</v>
      </c>
      <c r="W11" s="24">
        <v>0</v>
      </c>
      <c r="X11" s="24">
        <f>Y11+Z11+AA11+AB11</f>
        <v>2122.3589999999999</v>
      </c>
      <c r="Y11" s="24">
        <f>O11+T11</f>
        <v>410.30700000000002</v>
      </c>
      <c r="Z11" s="24">
        <f t="shared" si="0"/>
        <v>572</v>
      </c>
      <c r="AA11" s="24">
        <f>Q11+V11</f>
        <v>520.05499999999995</v>
      </c>
      <c r="AB11" s="24">
        <f t="shared" si="0"/>
        <v>619.99699999999996</v>
      </c>
    </row>
    <row r="12" spans="1:28" ht="45" x14ac:dyDescent="0.25">
      <c r="A12" s="12">
        <v>3</v>
      </c>
      <c r="B12" s="13" t="s">
        <v>62</v>
      </c>
      <c r="C12" s="12">
        <v>3130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2"/>
      <c r="R12" s="12"/>
      <c r="S12" s="12"/>
      <c r="T12" s="12"/>
      <c r="U12" s="12"/>
      <c r="V12" s="12"/>
      <c r="W12" s="12"/>
      <c r="X12" s="22"/>
      <c r="Y12" s="24"/>
      <c r="Z12" s="24"/>
      <c r="AA12" s="24"/>
      <c r="AB12" s="24"/>
    </row>
    <row r="13" spans="1:28" ht="75" x14ac:dyDescent="0.25">
      <c r="A13" s="12">
        <v>4</v>
      </c>
      <c r="B13" s="13" t="s">
        <v>123</v>
      </c>
      <c r="C13" s="12">
        <v>3140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24"/>
      <c r="Z13" s="24"/>
      <c r="AA13" s="24"/>
      <c r="AB13" s="24"/>
    </row>
    <row r="14" spans="1:28" ht="60" x14ac:dyDescent="0.25">
      <c r="A14" s="12">
        <v>5</v>
      </c>
      <c r="B14" s="13" t="s">
        <v>124</v>
      </c>
      <c r="C14" s="12">
        <v>3150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49"/>
      <c r="Y14" s="35"/>
      <c r="Z14" s="35"/>
      <c r="AA14" s="35"/>
      <c r="AB14" s="35"/>
    </row>
    <row r="15" spans="1:28" s="39" customFormat="1" x14ac:dyDescent="0.25">
      <c r="A15" s="149">
        <v>6</v>
      </c>
      <c r="B15" s="278" t="s">
        <v>65</v>
      </c>
      <c r="C15" s="149">
        <v>3160</v>
      </c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35">
        <f>Q15+R15</f>
        <v>0</v>
      </c>
      <c r="O15" s="35"/>
      <c r="P15" s="35"/>
      <c r="Q15" s="35"/>
      <c r="R15" s="35"/>
      <c r="S15" s="24">
        <f>T15+T15+U15+V15</f>
        <v>0</v>
      </c>
      <c r="T15" s="35"/>
      <c r="U15" s="35"/>
      <c r="V15" s="35"/>
      <c r="W15" s="35"/>
      <c r="X15" s="35">
        <f>AA15+AB15</f>
        <v>0</v>
      </c>
      <c r="Y15" s="35">
        <f>O15+T15</f>
        <v>0</v>
      </c>
      <c r="Z15" s="35">
        <f t="shared" ref="Z15:AB15" si="1">P15+U15</f>
        <v>0</v>
      </c>
      <c r="AA15" s="35">
        <f t="shared" si="1"/>
        <v>0</v>
      </c>
      <c r="AB15" s="35">
        <f t="shared" si="1"/>
        <v>0</v>
      </c>
    </row>
    <row r="16" spans="1:28" x14ac:dyDescent="0.25">
      <c r="A16" s="12"/>
      <c r="B16" s="14" t="s">
        <v>121</v>
      </c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24">
        <f>N11+N15</f>
        <v>619.99699999999996</v>
      </c>
      <c r="O16" s="24">
        <f>O11+O15</f>
        <v>0</v>
      </c>
      <c r="P16" s="24">
        <f>P11+P15</f>
        <v>0</v>
      </c>
      <c r="Q16" s="24">
        <f>Q11+Q15+Q12</f>
        <v>0</v>
      </c>
      <c r="R16" s="24">
        <f>R11+R15</f>
        <v>619.99699999999996</v>
      </c>
      <c r="S16" s="24">
        <f>S15+S11</f>
        <v>1502.3620000000001</v>
      </c>
      <c r="T16" s="24">
        <f>T11+T14</f>
        <v>410.30700000000002</v>
      </c>
      <c r="U16" s="24">
        <f>U11+U14</f>
        <v>572</v>
      </c>
      <c r="V16" s="24">
        <f>V11+V15</f>
        <v>520.05499999999995</v>
      </c>
      <c r="W16" s="24">
        <f>W11</f>
        <v>0</v>
      </c>
      <c r="X16" s="35">
        <f>X15+X11+X12</f>
        <v>2122.3589999999999</v>
      </c>
      <c r="Y16" s="35">
        <f>Y10+Y11</f>
        <v>410.30700000000002</v>
      </c>
      <c r="Z16" s="35">
        <f>Z10+Z11</f>
        <v>572</v>
      </c>
      <c r="AA16" s="35">
        <f>AA10+AA11+AA12+AA15</f>
        <v>520.05499999999995</v>
      </c>
      <c r="AB16" s="35">
        <f>AB10+AB11</f>
        <v>619.99699999999996</v>
      </c>
    </row>
    <row r="17" spans="1:28" x14ac:dyDescent="0.25">
      <c r="A17" s="12"/>
      <c r="B17" s="14" t="s">
        <v>125</v>
      </c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49"/>
      <c r="Y17" s="149"/>
      <c r="Z17" s="149"/>
      <c r="AA17" s="149"/>
      <c r="AB17" s="149"/>
    </row>
    <row r="18" spans="1:28" x14ac:dyDescent="0.25">
      <c r="A18" s="9"/>
      <c r="B18" s="15"/>
      <c r="C18" s="15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267" customFormat="1" ht="25.5" customHeight="1" x14ac:dyDescent="0.25">
      <c r="A19" s="270"/>
      <c r="B19" s="269" t="s">
        <v>370</v>
      </c>
      <c r="C19" s="269" t="s">
        <v>376</v>
      </c>
      <c r="D19" s="379" t="s">
        <v>127</v>
      </c>
      <c r="E19" s="379"/>
      <c r="F19" s="379"/>
      <c r="G19" s="270"/>
      <c r="H19" s="270"/>
      <c r="I19" s="270"/>
      <c r="J19" s="380" t="s">
        <v>500</v>
      </c>
      <c r="K19" s="380"/>
      <c r="L19" s="380"/>
      <c r="M19" s="379"/>
      <c r="N19" s="379"/>
      <c r="O19" s="379"/>
      <c r="P19" s="270"/>
      <c r="Q19" s="270"/>
      <c r="R19" s="270"/>
      <c r="S19" s="270"/>
      <c r="T19" s="270"/>
      <c r="U19" s="270"/>
      <c r="V19" s="380"/>
      <c r="W19" s="380"/>
      <c r="X19" s="380"/>
      <c r="Y19" s="270"/>
      <c r="Z19" s="270"/>
      <c r="AA19" s="270"/>
      <c r="AB19" s="270"/>
    </row>
    <row r="20" spans="1:28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40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</sheetData>
  <mergeCells count="27">
    <mergeCell ref="D19:F19"/>
    <mergeCell ref="J19:L19"/>
    <mergeCell ref="A3:AB3"/>
    <mergeCell ref="Y5:AB5"/>
    <mergeCell ref="A4:AB4"/>
    <mergeCell ref="M19:O19"/>
    <mergeCell ref="V19:X19"/>
    <mergeCell ref="N6:R6"/>
    <mergeCell ref="N7:N8"/>
    <mergeCell ref="O7:R7"/>
    <mergeCell ref="D6:H6"/>
    <mergeCell ref="D7:D8"/>
    <mergeCell ref="E7:H7"/>
    <mergeCell ref="B6:B8"/>
    <mergeCell ref="A6:A8"/>
    <mergeCell ref="I6:M6"/>
    <mergeCell ref="J7:M7"/>
    <mergeCell ref="I7:I8"/>
    <mergeCell ref="C6:C8"/>
    <mergeCell ref="U1:AB1"/>
    <mergeCell ref="U2:AB2"/>
    <mergeCell ref="X6:AB6"/>
    <mergeCell ref="X7:X8"/>
    <mergeCell ref="Y7:AB7"/>
    <mergeCell ref="S6:W6"/>
    <mergeCell ref="S7:S8"/>
    <mergeCell ref="T7:W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4"/>
  <sheetViews>
    <sheetView zoomScale="60" zoomScaleNormal="60" workbookViewId="0">
      <selection activeCell="C41" sqref="C41"/>
    </sheetView>
  </sheetViews>
  <sheetFormatPr defaultRowHeight="15" x14ac:dyDescent="0.25"/>
  <cols>
    <col min="1" max="1" width="6.28515625" customWidth="1"/>
    <col min="2" max="2" width="23.85546875" customWidth="1"/>
    <col min="3" max="3" width="16.5703125" customWidth="1"/>
    <col min="4" max="4" width="15.28515625" customWidth="1"/>
    <col min="5" max="5" width="19.5703125" customWidth="1"/>
    <col min="6" max="6" width="18.28515625" customWidth="1"/>
    <col min="7" max="7" width="11" customWidth="1"/>
    <col min="8" max="8" width="12" customWidth="1"/>
    <col min="12" max="12" width="15.42578125" customWidth="1"/>
    <col min="13" max="13" width="17" customWidth="1"/>
  </cols>
  <sheetData>
    <row r="1" spans="1:28" x14ac:dyDescent="0.25">
      <c r="J1" s="378" t="s">
        <v>507</v>
      </c>
      <c r="K1" s="378"/>
      <c r="L1" s="378"/>
      <c r="M1" s="378"/>
    </row>
    <row r="2" spans="1:28" x14ac:dyDescent="0.25">
      <c r="J2" s="378" t="s">
        <v>151</v>
      </c>
      <c r="K2" s="378"/>
      <c r="L2" s="378"/>
      <c r="M2" s="378"/>
    </row>
    <row r="3" spans="1:28" x14ac:dyDescent="0.25">
      <c r="A3" s="381" t="s">
        <v>147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</row>
    <row r="4" spans="1:28" x14ac:dyDescent="0.25">
      <c r="A4" s="383" t="s">
        <v>149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</row>
    <row r="5" spans="1:2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382" t="s">
        <v>148</v>
      </c>
      <c r="M5" s="382"/>
    </row>
    <row r="6" spans="1:28" ht="87" customHeight="1" x14ac:dyDescent="0.25">
      <c r="A6" s="384" t="s">
        <v>111</v>
      </c>
      <c r="B6" s="384" t="s">
        <v>112</v>
      </c>
      <c r="C6" s="384" t="s">
        <v>134</v>
      </c>
      <c r="D6" s="384" t="s">
        <v>135</v>
      </c>
      <c r="E6" s="384" t="s">
        <v>136</v>
      </c>
      <c r="F6" s="384" t="s">
        <v>137</v>
      </c>
      <c r="G6" s="384" t="s">
        <v>138</v>
      </c>
      <c r="H6" s="384"/>
      <c r="I6" s="384"/>
      <c r="J6" s="384"/>
      <c r="K6" s="384"/>
      <c r="L6" s="384" t="s">
        <v>145</v>
      </c>
      <c r="M6" s="384" t="s">
        <v>146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9"/>
      <c r="Z6" s="9"/>
      <c r="AA6" s="9"/>
      <c r="AB6" s="9"/>
    </row>
    <row r="7" spans="1:28" x14ac:dyDescent="0.25">
      <c r="A7" s="384"/>
      <c r="B7" s="384"/>
      <c r="C7" s="384"/>
      <c r="D7" s="384"/>
      <c r="E7" s="384"/>
      <c r="F7" s="384"/>
      <c r="G7" s="384" t="s">
        <v>139</v>
      </c>
      <c r="H7" s="384" t="s">
        <v>140</v>
      </c>
      <c r="I7" s="384" t="s">
        <v>141</v>
      </c>
      <c r="J7" s="384"/>
      <c r="K7" s="384"/>
      <c r="L7" s="384"/>
      <c r="M7" s="384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9"/>
      <c r="Z7" s="9"/>
      <c r="AA7" s="9"/>
      <c r="AB7" s="9"/>
    </row>
    <row r="8" spans="1:28" ht="63.75" x14ac:dyDescent="0.25">
      <c r="A8" s="384"/>
      <c r="B8" s="384"/>
      <c r="C8" s="384"/>
      <c r="D8" s="384"/>
      <c r="E8" s="384"/>
      <c r="F8" s="384"/>
      <c r="G8" s="384"/>
      <c r="H8" s="384"/>
      <c r="I8" s="17" t="s">
        <v>142</v>
      </c>
      <c r="J8" s="17" t="s">
        <v>143</v>
      </c>
      <c r="K8" s="17" t="s">
        <v>144</v>
      </c>
      <c r="L8" s="384"/>
      <c r="M8" s="384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9"/>
      <c r="Z8" s="9"/>
      <c r="AA8" s="9"/>
      <c r="AB8" s="9"/>
    </row>
    <row r="9" spans="1:28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x14ac:dyDescent="0.25">
      <c r="A20" s="9"/>
      <c r="B20" s="6" t="s">
        <v>376</v>
      </c>
      <c r="C20" s="9"/>
      <c r="D20" s="9"/>
      <c r="E20" s="9"/>
      <c r="F20" s="385" t="s">
        <v>127</v>
      </c>
      <c r="G20" s="385"/>
      <c r="H20" s="385"/>
      <c r="I20" s="9"/>
      <c r="J20" s="387" t="s">
        <v>500</v>
      </c>
      <c r="K20" s="387"/>
      <c r="L20" s="387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9"/>
      <c r="B21" s="7" t="s">
        <v>126</v>
      </c>
      <c r="C21" s="9"/>
      <c r="D21" s="9"/>
      <c r="E21" s="9"/>
      <c r="F21" s="386" t="s">
        <v>128</v>
      </c>
      <c r="G21" s="386"/>
      <c r="H21" s="386"/>
      <c r="I21" s="9"/>
      <c r="J21" s="342" t="s">
        <v>129</v>
      </c>
      <c r="K21" s="342"/>
      <c r="L21" s="342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x14ac:dyDescent="0.25">
      <c r="A23" s="9"/>
      <c r="B23" s="15" t="s">
        <v>110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</sheetData>
  <mergeCells count="21">
    <mergeCell ref="J1:M1"/>
    <mergeCell ref="J2:M2"/>
    <mergeCell ref="F20:H20"/>
    <mergeCell ref="F21:H21"/>
    <mergeCell ref="J20:L20"/>
    <mergeCell ref="J21:L21"/>
    <mergeCell ref="F6:F8"/>
    <mergeCell ref="L6:L8"/>
    <mergeCell ref="M6:M8"/>
    <mergeCell ref="A3:M3"/>
    <mergeCell ref="L5:M5"/>
    <mergeCell ref="A4:M4"/>
    <mergeCell ref="G6:K6"/>
    <mergeCell ref="G7:G8"/>
    <mergeCell ref="H7:H8"/>
    <mergeCell ref="I7:K7"/>
    <mergeCell ref="A6:A8"/>
    <mergeCell ref="B6:B8"/>
    <mergeCell ref="C6:C8"/>
    <mergeCell ref="D6:D8"/>
    <mergeCell ref="E6:E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88"/>
  <sheetViews>
    <sheetView zoomScale="66" zoomScaleNormal="66" workbookViewId="0">
      <selection activeCell="K23" sqref="K23"/>
    </sheetView>
  </sheetViews>
  <sheetFormatPr defaultRowHeight="15" x14ac:dyDescent="0.25"/>
  <cols>
    <col min="1" max="1" width="24.42578125" customWidth="1"/>
    <col min="2" max="2" width="12.28515625" customWidth="1"/>
    <col min="3" max="3" width="14.5703125" customWidth="1"/>
    <col min="4" max="4" width="12.85546875" customWidth="1"/>
    <col min="5" max="5" width="14" customWidth="1"/>
    <col min="6" max="6" width="12.140625" customWidth="1"/>
    <col min="7" max="7" width="12.28515625" customWidth="1"/>
    <col min="8" max="8" width="12" customWidth="1"/>
    <col min="9" max="9" width="13" customWidth="1"/>
    <col min="10" max="10" width="12.5703125" customWidth="1"/>
    <col min="11" max="11" width="11.5703125" customWidth="1"/>
    <col min="12" max="12" width="11.42578125" customWidth="1"/>
    <col min="13" max="13" width="12" customWidth="1"/>
  </cols>
  <sheetData>
    <row r="1" spans="1:23" x14ac:dyDescent="0.25">
      <c r="A1" s="18"/>
      <c r="B1" s="18"/>
      <c r="C1" s="18"/>
      <c r="D1" s="18"/>
      <c r="E1" s="18"/>
      <c r="F1" s="18"/>
      <c r="G1" s="18"/>
      <c r="H1" s="18"/>
      <c r="I1" s="18"/>
      <c r="J1" s="389" t="s">
        <v>508</v>
      </c>
      <c r="K1" s="389"/>
      <c r="L1" s="389"/>
      <c r="M1" s="389"/>
    </row>
    <row r="2" spans="1:23" x14ac:dyDescent="0.25">
      <c r="A2" s="18"/>
      <c r="B2" s="18"/>
      <c r="C2" s="18"/>
      <c r="D2" s="18"/>
      <c r="E2" s="18"/>
      <c r="F2" s="18"/>
      <c r="G2" s="18"/>
      <c r="H2" s="18"/>
      <c r="I2" s="18"/>
      <c r="J2" s="389" t="s">
        <v>165</v>
      </c>
      <c r="K2" s="389"/>
      <c r="L2" s="389"/>
      <c r="M2" s="389"/>
    </row>
    <row r="3" spans="1:23" ht="15.75" x14ac:dyDescent="0.25">
      <c r="A3" s="388" t="s">
        <v>163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</row>
    <row r="4" spans="1:2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2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 t="s">
        <v>164</v>
      </c>
    </row>
    <row r="6" spans="1:23" ht="40.5" customHeight="1" x14ac:dyDescent="0.25">
      <c r="A6" s="384" t="s">
        <v>166</v>
      </c>
      <c r="B6" s="384" t="s">
        <v>152</v>
      </c>
      <c r="C6" s="384"/>
      <c r="D6" s="384"/>
      <c r="E6" s="384" t="s">
        <v>155</v>
      </c>
      <c r="F6" s="384" t="s">
        <v>156</v>
      </c>
      <c r="G6" s="384"/>
      <c r="H6" s="384"/>
      <c r="I6" s="384"/>
      <c r="J6" s="384"/>
      <c r="K6" s="384" t="s">
        <v>162</v>
      </c>
      <c r="L6" s="384"/>
      <c r="M6" s="384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x14ac:dyDescent="0.25">
      <c r="A7" s="384"/>
      <c r="B7" s="384" t="s">
        <v>121</v>
      </c>
      <c r="C7" s="384" t="s">
        <v>141</v>
      </c>
      <c r="D7" s="384"/>
      <c r="E7" s="384"/>
      <c r="F7" s="384" t="s">
        <v>157</v>
      </c>
      <c r="G7" s="384" t="s">
        <v>158</v>
      </c>
      <c r="H7" s="384" t="s">
        <v>159</v>
      </c>
      <c r="I7" s="384" t="s">
        <v>160</v>
      </c>
      <c r="J7" s="384" t="s">
        <v>161</v>
      </c>
      <c r="K7" s="384" t="s">
        <v>121</v>
      </c>
      <c r="L7" s="384" t="s">
        <v>141</v>
      </c>
      <c r="M7" s="384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38.25" x14ac:dyDescent="0.25">
      <c r="A8" s="384"/>
      <c r="B8" s="384"/>
      <c r="C8" s="17" t="s">
        <v>153</v>
      </c>
      <c r="D8" s="17" t="s">
        <v>154</v>
      </c>
      <c r="E8" s="384"/>
      <c r="F8" s="384"/>
      <c r="G8" s="384"/>
      <c r="H8" s="384"/>
      <c r="I8" s="384"/>
      <c r="J8" s="384"/>
      <c r="K8" s="384"/>
      <c r="L8" s="17" t="s">
        <v>153</v>
      </c>
      <c r="M8" s="17" t="s">
        <v>154</v>
      </c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38.25" x14ac:dyDescent="0.25">
      <c r="A10" s="20" t="s">
        <v>167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x14ac:dyDescent="0.25">
      <c r="A11" s="2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x14ac:dyDescent="0.25">
      <c r="A12" s="20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38.25" x14ac:dyDescent="0.25">
      <c r="A13" s="20" t="s">
        <v>168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x14ac:dyDescent="0.25">
      <c r="A14" s="20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x14ac:dyDescent="0.25">
      <c r="A15" s="20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38.25" x14ac:dyDescent="0.25">
      <c r="A16" s="20" t="s">
        <v>169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x14ac:dyDescent="0.25">
      <c r="A17" s="20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x14ac:dyDescent="0.25">
      <c r="A18" s="20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x14ac:dyDescent="0.25">
      <c r="A19" s="20" t="s">
        <v>121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x14ac:dyDescent="0.25">
      <c r="A20" s="9" t="s">
        <v>376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x14ac:dyDescent="0.25">
      <c r="A21" s="6" t="s">
        <v>81</v>
      </c>
      <c r="B21" s="9"/>
      <c r="C21" s="9"/>
      <c r="D21" s="385" t="s">
        <v>127</v>
      </c>
      <c r="E21" s="385"/>
      <c r="F21" s="385"/>
      <c r="G21" s="9"/>
      <c r="H21" s="9"/>
      <c r="I21" s="387" t="s">
        <v>500</v>
      </c>
      <c r="J21" s="387"/>
      <c r="K21" s="387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x14ac:dyDescent="0.25">
      <c r="A22" s="7" t="s">
        <v>126</v>
      </c>
      <c r="B22" s="9"/>
      <c r="C22" s="9"/>
      <c r="D22" s="386" t="s">
        <v>128</v>
      </c>
      <c r="E22" s="386"/>
      <c r="F22" s="386"/>
      <c r="G22" s="9"/>
      <c r="H22" s="9"/>
      <c r="I22" s="342" t="s">
        <v>129</v>
      </c>
      <c r="J22" s="342"/>
      <c r="K22" s="342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x14ac:dyDescent="0.25">
      <c r="A24" s="15" t="s">
        <v>110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1:23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</sheetData>
  <mergeCells count="21">
    <mergeCell ref="K6:M6"/>
    <mergeCell ref="K7:K8"/>
    <mergeCell ref="L7:M7"/>
    <mergeCell ref="A3:M3"/>
    <mergeCell ref="J1:M1"/>
    <mergeCell ref="J2:M2"/>
    <mergeCell ref="B6:D6"/>
    <mergeCell ref="B7:B8"/>
    <mergeCell ref="C7:D7"/>
    <mergeCell ref="A6:A8"/>
    <mergeCell ref="E6:E8"/>
    <mergeCell ref="F6:J6"/>
    <mergeCell ref="F7:F8"/>
    <mergeCell ref="G7:G8"/>
    <mergeCell ref="H7:H8"/>
    <mergeCell ref="I7:I8"/>
    <mergeCell ref="D21:F21"/>
    <mergeCell ref="D22:F22"/>
    <mergeCell ref="I21:K21"/>
    <mergeCell ref="I22:K22"/>
    <mergeCell ref="J7:J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W31"/>
  <sheetViews>
    <sheetView topLeftCell="A7" zoomScale="80" zoomScaleNormal="80" workbookViewId="0">
      <selection activeCell="P20" sqref="P20"/>
    </sheetView>
  </sheetViews>
  <sheetFormatPr defaultRowHeight="15" x14ac:dyDescent="0.25"/>
  <cols>
    <col min="1" max="1" width="7.5703125" customWidth="1"/>
    <col min="2" max="2" width="33.5703125" customWidth="1"/>
    <col min="3" max="3" width="12" customWidth="1"/>
    <col min="4" max="4" width="14" customWidth="1"/>
    <col min="5" max="5" width="11.5703125" customWidth="1"/>
    <col min="6" max="6" width="15.42578125" customWidth="1"/>
    <col min="7" max="7" width="10.85546875" customWidth="1"/>
    <col min="8" max="8" width="11.140625" customWidth="1"/>
    <col min="9" max="10" width="10.85546875" customWidth="1"/>
    <col min="11" max="11" width="14.28515625" customWidth="1"/>
    <col min="12" max="14" width="8.85546875" hidden="1" customWidth="1"/>
    <col min="15" max="15" width="13.140625" customWidth="1"/>
    <col min="16" max="16" width="9.140625" bestFit="1" customWidth="1"/>
  </cols>
  <sheetData>
    <row r="1" spans="1:23" x14ac:dyDescent="0.25">
      <c r="F1" s="394" t="s">
        <v>509</v>
      </c>
      <c r="G1" s="394"/>
      <c r="H1" s="394"/>
      <c r="I1" s="394"/>
      <c r="J1" s="394"/>
      <c r="K1" s="18"/>
      <c r="L1" s="18"/>
      <c r="M1" s="18"/>
    </row>
    <row r="2" spans="1:23" x14ac:dyDescent="0.25">
      <c r="I2" s="18" t="s">
        <v>170</v>
      </c>
      <c r="J2" s="18"/>
      <c r="K2" s="18"/>
      <c r="L2" s="18"/>
      <c r="M2" s="18"/>
    </row>
    <row r="3" spans="1:23" ht="18" customHeight="1" x14ac:dyDescent="0.25">
      <c r="A3" s="381" t="s">
        <v>201</v>
      </c>
      <c r="B3" s="381"/>
      <c r="C3" s="381"/>
      <c r="D3" s="381"/>
      <c r="E3" s="381"/>
      <c r="F3" s="381"/>
      <c r="G3" s="381"/>
      <c r="H3" s="381"/>
      <c r="I3" s="381"/>
      <c r="J3" s="381"/>
      <c r="K3" s="25"/>
      <c r="L3" s="25"/>
      <c r="M3" s="25"/>
    </row>
    <row r="4" spans="1:23" x14ac:dyDescent="0.25">
      <c r="A4" s="396" t="s">
        <v>512</v>
      </c>
      <c r="B4" s="396"/>
      <c r="C4" s="396"/>
      <c r="D4" s="396"/>
      <c r="E4" s="396"/>
      <c r="F4" s="396"/>
      <c r="G4" s="396"/>
      <c r="H4" s="396"/>
      <c r="I4" s="396"/>
      <c r="J4" s="396"/>
      <c r="K4" s="25"/>
      <c r="L4" s="25"/>
      <c r="M4" s="25"/>
    </row>
    <row r="5" spans="1:23" ht="35.25" customHeight="1" x14ac:dyDescent="0.25">
      <c r="A5" s="393" t="s">
        <v>111</v>
      </c>
      <c r="B5" s="393" t="s">
        <v>202</v>
      </c>
      <c r="C5" s="393" t="s">
        <v>237</v>
      </c>
      <c r="D5" s="393"/>
      <c r="E5" s="393" t="s">
        <v>203</v>
      </c>
      <c r="F5" s="393"/>
      <c r="G5" s="393" t="s">
        <v>204</v>
      </c>
      <c r="H5" s="393"/>
      <c r="I5" s="393"/>
      <c r="J5" s="393"/>
      <c r="K5" s="27"/>
      <c r="L5" s="27"/>
      <c r="M5" s="27"/>
      <c r="N5" s="39"/>
    </row>
    <row r="6" spans="1:23" ht="45" x14ac:dyDescent="0.25">
      <c r="A6" s="393"/>
      <c r="B6" s="393"/>
      <c r="C6" s="22" t="s">
        <v>205</v>
      </c>
      <c r="D6" s="22" t="s">
        <v>206</v>
      </c>
      <c r="E6" s="22" t="s">
        <v>205</v>
      </c>
      <c r="F6" s="22" t="s">
        <v>206</v>
      </c>
      <c r="G6" s="12" t="s">
        <v>116</v>
      </c>
      <c r="H6" s="12" t="s">
        <v>117</v>
      </c>
      <c r="I6" s="12" t="s">
        <v>118</v>
      </c>
      <c r="J6" s="12" t="s">
        <v>119</v>
      </c>
      <c r="K6" s="27"/>
      <c r="L6" s="27"/>
      <c r="M6" s="27"/>
    </row>
    <row r="7" spans="1:23" ht="30" x14ac:dyDescent="0.25">
      <c r="A7" s="12">
        <v>1</v>
      </c>
      <c r="B7" s="38" t="s">
        <v>256</v>
      </c>
      <c r="C7" s="24">
        <v>307.5</v>
      </c>
      <c r="D7" s="24">
        <v>33</v>
      </c>
      <c r="E7" s="24">
        <v>307.5</v>
      </c>
      <c r="F7" s="24">
        <v>33</v>
      </c>
      <c r="G7" s="31">
        <v>307.5</v>
      </c>
      <c r="H7" s="31">
        <v>307.5</v>
      </c>
      <c r="I7" s="31">
        <v>307.5</v>
      </c>
      <c r="J7" s="31">
        <v>307.5</v>
      </c>
      <c r="K7" s="318"/>
      <c r="L7" s="318"/>
      <c r="M7" s="318"/>
      <c r="N7" s="101"/>
    </row>
    <row r="8" spans="1:23" ht="51" customHeight="1" x14ac:dyDescent="0.25">
      <c r="A8" s="12">
        <v>2</v>
      </c>
      <c r="B8" s="38" t="s">
        <v>255</v>
      </c>
      <c r="C8" s="24">
        <v>307.5</v>
      </c>
      <c r="D8" s="24">
        <v>33</v>
      </c>
      <c r="E8" s="24">
        <v>307.5</v>
      </c>
      <c r="F8" s="24">
        <v>33</v>
      </c>
      <c r="G8" s="31">
        <v>307.5</v>
      </c>
      <c r="H8" s="31">
        <v>307.5</v>
      </c>
      <c r="I8" s="31">
        <v>307.5</v>
      </c>
      <c r="J8" s="31">
        <v>307.5</v>
      </c>
      <c r="K8" s="319"/>
      <c r="L8" s="319"/>
      <c r="M8" s="319"/>
      <c r="N8" s="101"/>
    </row>
    <row r="9" spans="1:23" ht="15.75" customHeight="1" x14ac:dyDescent="0.25">
      <c r="A9" s="12">
        <v>3</v>
      </c>
      <c r="B9" s="38" t="s">
        <v>207</v>
      </c>
      <c r="C9" s="24">
        <v>26</v>
      </c>
      <c r="D9" s="24">
        <v>2</v>
      </c>
      <c r="E9" s="24">
        <v>26</v>
      </c>
      <c r="F9" s="24">
        <v>0</v>
      </c>
      <c r="G9" s="31"/>
      <c r="H9" s="31"/>
      <c r="I9" s="31"/>
      <c r="J9" s="31"/>
      <c r="K9" s="28"/>
      <c r="L9" s="28"/>
      <c r="M9" s="28"/>
    </row>
    <row r="10" spans="1:23" ht="15.75" customHeight="1" x14ac:dyDescent="0.25">
      <c r="A10" s="12">
        <v>4</v>
      </c>
      <c r="B10" s="38" t="s">
        <v>208</v>
      </c>
      <c r="C10" s="24"/>
      <c r="D10" s="24"/>
      <c r="E10" s="24"/>
      <c r="F10" s="24"/>
      <c r="G10" s="31"/>
      <c r="H10" s="31"/>
      <c r="I10" s="31"/>
      <c r="J10" s="31"/>
      <c r="K10" s="28"/>
      <c r="L10" s="28"/>
      <c r="M10" s="28"/>
    </row>
    <row r="11" spans="1:23" ht="45.75" customHeight="1" x14ac:dyDescent="0.25">
      <c r="A11" s="32">
        <v>5</v>
      </c>
      <c r="B11" s="33" t="s">
        <v>209</v>
      </c>
      <c r="C11" s="23">
        <f>C12+C13</f>
        <v>56549.413</v>
      </c>
      <c r="D11" s="23">
        <f>D12+D13</f>
        <v>5839.2662381999999</v>
      </c>
      <c r="E11" s="23">
        <f>G11+H11+I11+J11</f>
        <v>62522.767000000007</v>
      </c>
      <c r="F11" s="23">
        <f>F12+F13</f>
        <v>5914.1168803</v>
      </c>
      <c r="G11" s="23">
        <f t="shared" ref="G11:J11" si="0">G12+G13</f>
        <v>16069.828000000001</v>
      </c>
      <c r="H11" s="23">
        <f t="shared" si="0"/>
        <v>15922.806</v>
      </c>
      <c r="I11" s="23">
        <f t="shared" si="0"/>
        <v>15104.989000000001</v>
      </c>
      <c r="J11" s="23">
        <f t="shared" si="0"/>
        <v>15425.144</v>
      </c>
      <c r="K11" s="271"/>
      <c r="L11" s="27"/>
      <c r="M11" s="27"/>
      <c r="O11" s="327"/>
      <c r="P11" s="101"/>
    </row>
    <row r="12" spans="1:23" x14ac:dyDescent="0.25">
      <c r="A12" s="12" t="s">
        <v>210</v>
      </c>
      <c r="B12" s="30" t="s">
        <v>211</v>
      </c>
      <c r="C12" s="24">
        <f>37586+700.557+396.17-100.2-895.8</f>
        <v>37686.726999999999</v>
      </c>
      <c r="D12" s="24">
        <f>3530.87+11.027</f>
        <v>3541.8969999999999</v>
      </c>
      <c r="E12" s="24">
        <f>G12+H12+I12+J12</f>
        <v>39924.942999999999</v>
      </c>
      <c r="F12" s="24">
        <f>3530.87-820+1000</f>
        <v>3710.87</v>
      </c>
      <c r="G12" s="31">
        <f>9646.073-249+122.647+227.088+81-249.018-161.982+0.001+1000+102.009</f>
        <v>10518.818000000001</v>
      </c>
      <c r="H12" s="31">
        <f>9646.073-249+65.126+20.991-81-249-0.001+1000-35.476</f>
        <v>10117.713</v>
      </c>
      <c r="I12" s="31">
        <f>9646.073-249+96.25+19.544-81-249-0.001-820+1000+300-33.293</f>
        <v>9629.5730000000003</v>
      </c>
      <c r="J12" s="31">
        <f>9646.073-249-53.529+498.533-81-249+0.002-820+1000-33.24</f>
        <v>9658.8389999999999</v>
      </c>
      <c r="K12" s="27"/>
      <c r="L12" s="27"/>
      <c r="M12" s="27"/>
      <c r="R12" s="101"/>
      <c r="S12" s="101"/>
      <c r="T12" s="101"/>
      <c r="U12" s="101"/>
      <c r="V12" s="101"/>
      <c r="W12" s="101"/>
    </row>
    <row r="13" spans="1:23" x14ac:dyDescent="0.25">
      <c r="A13" s="12" t="s">
        <v>212</v>
      </c>
      <c r="B13" s="30" t="s">
        <v>213</v>
      </c>
      <c r="C13" s="24">
        <v>18862.686000000002</v>
      </c>
      <c r="D13" s="24">
        <v>2297.3692381999999</v>
      </c>
      <c r="E13" s="24">
        <f t="shared" ref="E13:E18" si="1">G13+H13+I13+J13</f>
        <v>22597.824000000001</v>
      </c>
      <c r="F13" s="24">
        <f>F14+F17</f>
        <v>2203.2468803000002</v>
      </c>
      <c r="G13" s="24">
        <f>G14+G15+G16+G17+G18</f>
        <v>5551.01</v>
      </c>
      <c r="H13" s="24">
        <f>H14+H15+H16+H17+H18</f>
        <v>5805.0930000000008</v>
      </c>
      <c r="I13" s="24">
        <f t="shared" ref="I13:J13" si="2">I14+I15+I16+I17+I18</f>
        <v>5475.4160000000002</v>
      </c>
      <c r="J13" s="24">
        <f t="shared" si="2"/>
        <v>5766.3050000000003</v>
      </c>
      <c r="K13" s="27"/>
      <c r="L13" s="27"/>
      <c r="M13" s="27"/>
      <c r="O13" s="284"/>
    </row>
    <row r="14" spans="1:23" x14ac:dyDescent="0.25">
      <c r="A14" s="12" t="s">
        <v>214</v>
      </c>
      <c r="B14" s="30" t="s">
        <v>215</v>
      </c>
      <c r="C14" s="24">
        <v>7479.5920000000006</v>
      </c>
      <c r="D14" s="24">
        <v>1025.0430904</v>
      </c>
      <c r="E14" s="24">
        <f t="shared" si="1"/>
        <v>10007.819</v>
      </c>
      <c r="F14" s="24">
        <f>E14*0.0537+623.389-500+432.98+425.9-135.788</f>
        <v>1383.9008803000002</v>
      </c>
      <c r="G14" s="31">
        <f>1023.355+346.543+500+500+528.227</f>
        <v>2898.125</v>
      </c>
      <c r="H14" s="31">
        <f>1023.355+346.543+500+500</f>
        <v>2369.8980000000001</v>
      </c>
      <c r="I14" s="31">
        <f>1023.355+346.543+500+500</f>
        <v>2369.8980000000001</v>
      </c>
      <c r="J14" s="31">
        <f>1023.355+346.543+500+500</f>
        <v>2369.8980000000001</v>
      </c>
      <c r="K14" s="27"/>
      <c r="L14" s="27"/>
      <c r="M14" s="27"/>
      <c r="P14" s="101"/>
      <c r="Q14" s="101"/>
      <c r="R14" s="101"/>
      <c r="S14" s="101"/>
    </row>
    <row r="15" spans="1:23" ht="15.75" customHeight="1" x14ac:dyDescent="0.25">
      <c r="A15" s="149" t="s">
        <v>216</v>
      </c>
      <c r="B15" s="38" t="s">
        <v>217</v>
      </c>
      <c r="C15" s="35">
        <v>0</v>
      </c>
      <c r="D15" s="24">
        <v>0</v>
      </c>
      <c r="E15" s="24">
        <f t="shared" si="1"/>
        <v>0</v>
      </c>
      <c r="F15" s="24">
        <f t="shared" ref="F15:F16" si="3">E15*0.0537</f>
        <v>0</v>
      </c>
      <c r="G15" s="150">
        <v>0</v>
      </c>
      <c r="H15" s="150">
        <v>0</v>
      </c>
      <c r="I15" s="150">
        <v>0</v>
      </c>
      <c r="J15" s="150">
        <v>0</v>
      </c>
      <c r="K15" s="28"/>
      <c r="L15" s="28"/>
      <c r="M15" s="28"/>
    </row>
    <row r="16" spans="1:23" ht="15.75" customHeight="1" x14ac:dyDescent="0.25">
      <c r="A16" s="149" t="s">
        <v>218</v>
      </c>
      <c r="B16" s="38" t="s">
        <v>220</v>
      </c>
      <c r="C16" s="35">
        <v>0</v>
      </c>
      <c r="D16" s="24">
        <v>0</v>
      </c>
      <c r="E16" s="24">
        <f t="shared" si="1"/>
        <v>0</v>
      </c>
      <c r="F16" s="24">
        <f t="shared" si="3"/>
        <v>0</v>
      </c>
      <c r="G16" s="150">
        <v>0</v>
      </c>
      <c r="H16" s="150">
        <v>0</v>
      </c>
      <c r="I16" s="150">
        <v>0</v>
      </c>
      <c r="J16" s="150">
        <v>0</v>
      </c>
      <c r="K16" s="326"/>
      <c r="L16" s="28"/>
      <c r="M16" s="28"/>
      <c r="O16" s="327"/>
      <c r="P16" s="101"/>
      <c r="Q16" s="101"/>
      <c r="R16" s="101"/>
      <c r="S16" s="101"/>
    </row>
    <row r="17" spans="1:19" ht="25.5" customHeight="1" x14ac:dyDescent="0.25">
      <c r="A17" s="149" t="s">
        <v>219</v>
      </c>
      <c r="B17" s="38" t="s">
        <v>221</v>
      </c>
      <c r="C17" s="24">
        <v>4087.8780000000002</v>
      </c>
      <c r="D17" s="24">
        <v>519.346</v>
      </c>
      <c r="E17" s="24">
        <f t="shared" si="1"/>
        <v>6246.5520000000006</v>
      </c>
      <c r="F17" s="24">
        <f>519.346+300</f>
        <v>819.346</v>
      </c>
      <c r="G17" s="31">
        <f>766.452+72.629+300+20</f>
        <v>1159.0810000000001</v>
      </c>
      <c r="H17" s="31">
        <f>766.452+72.629+263.636+838.674</f>
        <v>1941.3910000000001</v>
      </c>
      <c r="I17" s="31">
        <f>766.452+72.629+233.959+500</f>
        <v>1573.04</v>
      </c>
      <c r="J17" s="31">
        <f>766.452+72.629+233.959+500</f>
        <v>1573.04</v>
      </c>
      <c r="K17" s="27"/>
      <c r="L17" s="27"/>
      <c r="M17" s="27"/>
    </row>
    <row r="18" spans="1:19" ht="60" x14ac:dyDescent="0.25">
      <c r="A18" s="149" t="s">
        <v>222</v>
      </c>
      <c r="B18" s="38" t="s">
        <v>223</v>
      </c>
      <c r="C18" s="24">
        <v>7295.2160000000003</v>
      </c>
      <c r="D18" s="24">
        <v>752.98009920000004</v>
      </c>
      <c r="E18" s="24">
        <f t="shared" si="1"/>
        <v>6343.4530000000004</v>
      </c>
      <c r="F18" s="24">
        <v>0</v>
      </c>
      <c r="G18" s="31">
        <f>1823.804-G21</f>
        <v>1493.8040000000001</v>
      </c>
      <c r="H18" s="31">
        <f>1823.804-H21</f>
        <v>1493.8040000000001</v>
      </c>
      <c r="I18" s="31">
        <f>538.674+1823.804-500-I21</f>
        <v>1532.4780000000001</v>
      </c>
      <c r="J18" s="31">
        <f>329.563+1823.804-J21</f>
        <v>1823.3670000000002</v>
      </c>
      <c r="K18" s="27"/>
      <c r="L18" s="27"/>
      <c r="M18" s="27"/>
    </row>
    <row r="19" spans="1:19" ht="30" x14ac:dyDescent="0.25">
      <c r="A19" s="12">
        <v>6</v>
      </c>
      <c r="B19" s="30" t="s">
        <v>224</v>
      </c>
      <c r="C19" s="24"/>
      <c r="D19" s="24"/>
      <c r="E19" s="24"/>
      <c r="F19" s="24"/>
      <c r="G19" s="31"/>
      <c r="H19" s="31"/>
      <c r="I19" s="31"/>
      <c r="J19" s="31"/>
      <c r="K19" s="27"/>
      <c r="L19" s="27"/>
      <c r="M19" s="27"/>
    </row>
    <row r="20" spans="1:19" ht="60" x14ac:dyDescent="0.25">
      <c r="A20" s="12">
        <v>7</v>
      </c>
      <c r="B20" s="38" t="s">
        <v>225</v>
      </c>
      <c r="C20" s="24">
        <v>5</v>
      </c>
      <c r="D20" s="24">
        <v>0</v>
      </c>
      <c r="E20" s="24">
        <v>5</v>
      </c>
      <c r="F20" s="24"/>
      <c r="G20" s="31"/>
      <c r="H20" s="31"/>
      <c r="I20" s="31"/>
      <c r="J20" s="31"/>
      <c r="K20" s="27"/>
      <c r="L20" s="27"/>
      <c r="M20" s="27"/>
    </row>
    <row r="21" spans="1:19" ht="32.25" customHeight="1" x14ac:dyDescent="0.25">
      <c r="A21" s="12">
        <v>8</v>
      </c>
      <c r="B21" s="38" t="s">
        <v>226</v>
      </c>
      <c r="C21" s="35">
        <v>996</v>
      </c>
      <c r="D21" s="24">
        <v>0</v>
      </c>
      <c r="E21" s="24">
        <f>G21+H21+I21+J21</f>
        <v>1320</v>
      </c>
      <c r="F21" s="24">
        <v>0</v>
      </c>
      <c r="G21" s="31">
        <v>330</v>
      </c>
      <c r="H21" s="31">
        <v>330</v>
      </c>
      <c r="I21" s="31">
        <v>330</v>
      </c>
      <c r="J21" s="31">
        <v>330</v>
      </c>
      <c r="K21" s="28"/>
      <c r="L21" s="28"/>
      <c r="M21" s="28"/>
      <c r="O21" s="101"/>
      <c r="P21" s="101"/>
      <c r="Q21" s="101"/>
      <c r="R21" s="101"/>
      <c r="S21" s="101"/>
    </row>
    <row r="22" spans="1:19" ht="31.9" customHeight="1" x14ac:dyDescent="0.25">
      <c r="A22" s="32">
        <v>9</v>
      </c>
      <c r="B22" s="33" t="s">
        <v>227</v>
      </c>
      <c r="C22" s="23">
        <f>C11+C21</f>
        <v>57545.413</v>
      </c>
      <c r="D22" s="23">
        <f t="shared" ref="D22:J22" si="4">D11+D21</f>
        <v>5839.2662381999999</v>
      </c>
      <c r="E22" s="23">
        <f t="shared" si="4"/>
        <v>63842.767000000007</v>
      </c>
      <c r="F22" s="34">
        <f t="shared" si="4"/>
        <v>5914.1168803</v>
      </c>
      <c r="G22" s="34">
        <f t="shared" si="4"/>
        <v>16399.828000000001</v>
      </c>
      <c r="H22" s="34">
        <f t="shared" si="4"/>
        <v>16252.806</v>
      </c>
      <c r="I22" s="34">
        <f t="shared" si="4"/>
        <v>15434.989000000001</v>
      </c>
      <c r="J22" s="34">
        <f t="shared" si="4"/>
        <v>15755.144</v>
      </c>
      <c r="K22" s="28"/>
      <c r="L22" s="28"/>
      <c r="M22" s="28"/>
    </row>
    <row r="23" spans="1:19" ht="15.75" customHeight="1" x14ac:dyDescent="0.25">
      <c r="A23" s="25"/>
      <c r="B23" s="25"/>
      <c r="C23" s="26"/>
      <c r="D23" s="26"/>
      <c r="E23" s="26"/>
      <c r="F23" s="26"/>
      <c r="G23" s="26"/>
      <c r="H23" s="26"/>
      <c r="I23" s="29"/>
      <c r="J23" s="28"/>
      <c r="K23" s="28"/>
      <c r="L23" s="28"/>
      <c r="M23" s="28"/>
    </row>
    <row r="24" spans="1:19" ht="17.25" customHeight="1" x14ac:dyDescent="0.25">
      <c r="A24" s="392" t="s">
        <v>262</v>
      </c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</row>
    <row r="25" spans="1:19" ht="41.25" customHeight="1" x14ac:dyDescent="0.25">
      <c r="B25" t="s">
        <v>376</v>
      </c>
      <c r="C25" s="391" t="s">
        <v>127</v>
      </c>
      <c r="D25" s="391"/>
      <c r="E25" s="391"/>
      <c r="F25" s="395" t="s">
        <v>500</v>
      </c>
      <c r="G25" s="395"/>
      <c r="J25" s="1"/>
      <c r="K25" s="1"/>
    </row>
    <row r="26" spans="1:19" x14ac:dyDescent="0.25">
      <c r="C26" s="386" t="s">
        <v>128</v>
      </c>
      <c r="D26" s="386"/>
      <c r="E26" s="386"/>
      <c r="F26" s="342" t="s">
        <v>129</v>
      </c>
      <c r="G26" s="342"/>
      <c r="H26" s="1"/>
      <c r="I26" s="1"/>
      <c r="J26" s="1"/>
      <c r="K26" s="1"/>
    </row>
    <row r="28" spans="1:19" ht="26.25" customHeight="1" x14ac:dyDescent="0.25">
      <c r="A28" s="390" t="s">
        <v>110</v>
      </c>
      <c r="B28" s="390"/>
    </row>
    <row r="29" spans="1:19" x14ac:dyDescent="0.25">
      <c r="D29" s="101"/>
      <c r="E29" s="101"/>
      <c r="F29" s="101"/>
      <c r="G29" s="101"/>
    </row>
    <row r="31" spans="1:19" x14ac:dyDescent="0.25">
      <c r="A31" s="343" t="s">
        <v>257</v>
      </c>
      <c r="B31" s="343"/>
      <c r="C31" s="343"/>
      <c r="D31" s="343"/>
      <c r="E31" s="343"/>
      <c r="F31" s="343"/>
      <c r="G31" s="343"/>
      <c r="H31" s="343"/>
      <c r="I31" s="343"/>
      <c r="J31" s="343"/>
    </row>
  </sheetData>
  <mergeCells count="15">
    <mergeCell ref="C5:D5"/>
    <mergeCell ref="F1:J1"/>
    <mergeCell ref="F26:G26"/>
    <mergeCell ref="F25:G25"/>
    <mergeCell ref="E5:F5"/>
    <mergeCell ref="G5:J5"/>
    <mergeCell ref="A3:J3"/>
    <mergeCell ref="A4:J4"/>
    <mergeCell ref="A5:A6"/>
    <mergeCell ref="B5:B6"/>
    <mergeCell ref="A31:J31"/>
    <mergeCell ref="A28:B28"/>
    <mergeCell ref="C25:E25"/>
    <mergeCell ref="C26:E26"/>
    <mergeCell ref="A24:M24"/>
  </mergeCells>
  <pageMargins left="0.7" right="0.7" top="0.75" bottom="0.75" header="0.3" footer="0.3"/>
  <pageSetup paperSize="9" scale="62" orientation="landscape" r:id="rId1"/>
  <colBreaks count="1" manualBreakCount="1">
    <brk id="12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132"/>
  <sheetViews>
    <sheetView topLeftCell="A10" zoomScale="70" zoomScaleNormal="70" workbookViewId="0">
      <selection activeCell="A41" sqref="A41"/>
    </sheetView>
  </sheetViews>
  <sheetFormatPr defaultRowHeight="15" x14ac:dyDescent="0.25"/>
  <cols>
    <col min="1" max="1" width="32.85546875" style="267" customWidth="1"/>
    <col min="2" max="2" width="20.28515625" style="267" customWidth="1"/>
    <col min="3" max="3" width="19.85546875" style="267" customWidth="1"/>
    <col min="4" max="4" width="19.140625" style="267" customWidth="1"/>
    <col min="5" max="5" width="16.42578125" style="267" customWidth="1"/>
    <col min="6" max="6" width="22" style="267" customWidth="1"/>
    <col min="7" max="35" width="8.5703125" style="267"/>
    <col min="36" max="36" width="21.28515625" style="267" customWidth="1"/>
    <col min="37" max="37" width="24.85546875" style="267" customWidth="1"/>
    <col min="38" max="38" width="15.140625" style="267" customWidth="1"/>
    <col min="39" max="39" width="13.140625" style="267" customWidth="1"/>
    <col min="40" max="40" width="12.28515625" style="267" customWidth="1"/>
    <col min="41" max="41" width="25.140625" style="267" customWidth="1"/>
    <col min="42" max="256" width="8.5703125" style="267"/>
    <col min="257" max="257" width="32.85546875" style="267" customWidth="1"/>
    <col min="258" max="258" width="20.28515625" style="267" customWidth="1"/>
    <col min="259" max="259" width="19.85546875" style="267" customWidth="1"/>
    <col min="260" max="260" width="19.140625" style="267" customWidth="1"/>
    <col min="261" max="261" width="16.42578125" style="267" customWidth="1"/>
    <col min="262" max="262" width="22" style="267" customWidth="1"/>
    <col min="263" max="512" width="8.5703125" style="267"/>
    <col min="513" max="513" width="32.85546875" style="267" customWidth="1"/>
    <col min="514" max="514" width="20.28515625" style="267" customWidth="1"/>
    <col min="515" max="515" width="19.85546875" style="267" customWidth="1"/>
    <col min="516" max="516" width="19.140625" style="267" customWidth="1"/>
    <col min="517" max="517" width="16.42578125" style="267" customWidth="1"/>
    <col min="518" max="518" width="22" style="267" customWidth="1"/>
    <col min="519" max="768" width="8.5703125" style="267"/>
    <col min="769" max="769" width="32.85546875" style="267" customWidth="1"/>
    <col min="770" max="770" width="20.28515625" style="267" customWidth="1"/>
    <col min="771" max="771" width="19.85546875" style="267" customWidth="1"/>
    <col min="772" max="772" width="19.140625" style="267" customWidth="1"/>
    <col min="773" max="773" width="16.42578125" style="267" customWidth="1"/>
    <col min="774" max="774" width="22" style="267" customWidth="1"/>
    <col min="775" max="1024" width="8.5703125" style="267"/>
    <col min="1025" max="1025" width="32.85546875" style="267" customWidth="1"/>
    <col min="1026" max="1026" width="20.28515625" style="267" customWidth="1"/>
    <col min="1027" max="1027" width="19.85546875" style="267" customWidth="1"/>
    <col min="1028" max="1028" width="19.140625" style="267" customWidth="1"/>
    <col min="1029" max="1029" width="16.42578125" style="267" customWidth="1"/>
    <col min="1030" max="1030" width="22" style="267" customWidth="1"/>
    <col min="1031" max="1280" width="8.5703125" style="267"/>
    <col min="1281" max="1281" width="32.85546875" style="267" customWidth="1"/>
    <col min="1282" max="1282" width="20.28515625" style="267" customWidth="1"/>
    <col min="1283" max="1283" width="19.85546875" style="267" customWidth="1"/>
    <col min="1284" max="1284" width="19.140625" style="267" customWidth="1"/>
    <col min="1285" max="1285" width="16.42578125" style="267" customWidth="1"/>
    <col min="1286" max="1286" width="22" style="267" customWidth="1"/>
    <col min="1287" max="1536" width="8.5703125" style="267"/>
    <col min="1537" max="1537" width="32.85546875" style="267" customWidth="1"/>
    <col min="1538" max="1538" width="20.28515625" style="267" customWidth="1"/>
    <col min="1539" max="1539" width="19.85546875" style="267" customWidth="1"/>
    <col min="1540" max="1540" width="19.140625" style="267" customWidth="1"/>
    <col min="1541" max="1541" width="16.42578125" style="267" customWidth="1"/>
    <col min="1542" max="1542" width="22" style="267" customWidth="1"/>
    <col min="1543" max="1792" width="8.5703125" style="267"/>
    <col min="1793" max="1793" width="32.85546875" style="267" customWidth="1"/>
    <col min="1794" max="1794" width="20.28515625" style="267" customWidth="1"/>
    <col min="1795" max="1795" width="19.85546875" style="267" customWidth="1"/>
    <col min="1796" max="1796" width="19.140625" style="267" customWidth="1"/>
    <col min="1797" max="1797" width="16.42578125" style="267" customWidth="1"/>
    <col min="1798" max="1798" width="22" style="267" customWidth="1"/>
    <col min="1799" max="2048" width="8.5703125" style="267"/>
    <col min="2049" max="2049" width="32.85546875" style="267" customWidth="1"/>
    <col min="2050" max="2050" width="20.28515625" style="267" customWidth="1"/>
    <col min="2051" max="2051" width="19.85546875" style="267" customWidth="1"/>
    <col min="2052" max="2052" width="19.140625" style="267" customWidth="1"/>
    <col min="2053" max="2053" width="16.42578125" style="267" customWidth="1"/>
    <col min="2054" max="2054" width="22" style="267" customWidth="1"/>
    <col min="2055" max="2304" width="8.5703125" style="267"/>
    <col min="2305" max="2305" width="32.85546875" style="267" customWidth="1"/>
    <col min="2306" max="2306" width="20.28515625" style="267" customWidth="1"/>
    <col min="2307" max="2307" width="19.85546875" style="267" customWidth="1"/>
    <col min="2308" max="2308" width="19.140625" style="267" customWidth="1"/>
    <col min="2309" max="2309" width="16.42578125" style="267" customWidth="1"/>
    <col min="2310" max="2310" width="22" style="267" customWidth="1"/>
    <col min="2311" max="2560" width="8.5703125" style="267"/>
    <col min="2561" max="2561" width="32.85546875" style="267" customWidth="1"/>
    <col min="2562" max="2562" width="20.28515625" style="267" customWidth="1"/>
    <col min="2563" max="2563" width="19.85546875" style="267" customWidth="1"/>
    <col min="2564" max="2564" width="19.140625" style="267" customWidth="1"/>
    <col min="2565" max="2565" width="16.42578125" style="267" customWidth="1"/>
    <col min="2566" max="2566" width="22" style="267" customWidth="1"/>
    <col min="2567" max="2816" width="8.5703125" style="267"/>
    <col min="2817" max="2817" width="32.85546875" style="267" customWidth="1"/>
    <col min="2818" max="2818" width="20.28515625" style="267" customWidth="1"/>
    <col min="2819" max="2819" width="19.85546875" style="267" customWidth="1"/>
    <col min="2820" max="2820" width="19.140625" style="267" customWidth="1"/>
    <col min="2821" max="2821" width="16.42578125" style="267" customWidth="1"/>
    <col min="2822" max="2822" width="22" style="267" customWidth="1"/>
    <col min="2823" max="3072" width="8.5703125" style="267"/>
    <col min="3073" max="3073" width="32.85546875" style="267" customWidth="1"/>
    <col min="3074" max="3074" width="20.28515625" style="267" customWidth="1"/>
    <col min="3075" max="3075" width="19.85546875" style="267" customWidth="1"/>
    <col min="3076" max="3076" width="19.140625" style="267" customWidth="1"/>
    <col min="3077" max="3077" width="16.42578125" style="267" customWidth="1"/>
    <col min="3078" max="3078" width="22" style="267" customWidth="1"/>
    <col min="3079" max="3328" width="8.5703125" style="267"/>
    <col min="3329" max="3329" width="32.85546875" style="267" customWidth="1"/>
    <col min="3330" max="3330" width="20.28515625" style="267" customWidth="1"/>
    <col min="3331" max="3331" width="19.85546875" style="267" customWidth="1"/>
    <col min="3332" max="3332" width="19.140625" style="267" customWidth="1"/>
    <col min="3333" max="3333" width="16.42578125" style="267" customWidth="1"/>
    <col min="3334" max="3334" width="22" style="267" customWidth="1"/>
    <col min="3335" max="3584" width="8.5703125" style="267"/>
    <col min="3585" max="3585" width="32.85546875" style="267" customWidth="1"/>
    <col min="3586" max="3586" width="20.28515625" style="267" customWidth="1"/>
    <col min="3587" max="3587" width="19.85546875" style="267" customWidth="1"/>
    <col min="3588" max="3588" width="19.140625" style="267" customWidth="1"/>
    <col min="3589" max="3589" width="16.42578125" style="267" customWidth="1"/>
    <col min="3590" max="3590" width="22" style="267" customWidth="1"/>
    <col min="3591" max="3840" width="8.5703125" style="267"/>
    <col min="3841" max="3841" width="32.85546875" style="267" customWidth="1"/>
    <col min="3842" max="3842" width="20.28515625" style="267" customWidth="1"/>
    <col min="3843" max="3843" width="19.85546875" style="267" customWidth="1"/>
    <col min="3844" max="3844" width="19.140625" style="267" customWidth="1"/>
    <col min="3845" max="3845" width="16.42578125" style="267" customWidth="1"/>
    <col min="3846" max="3846" width="22" style="267" customWidth="1"/>
    <col min="3847" max="4096" width="8.5703125" style="267"/>
    <col min="4097" max="4097" width="32.85546875" style="267" customWidth="1"/>
    <col min="4098" max="4098" width="20.28515625" style="267" customWidth="1"/>
    <col min="4099" max="4099" width="19.85546875" style="267" customWidth="1"/>
    <col min="4100" max="4100" width="19.140625" style="267" customWidth="1"/>
    <col min="4101" max="4101" width="16.42578125" style="267" customWidth="1"/>
    <col min="4102" max="4102" width="22" style="267" customWidth="1"/>
    <col min="4103" max="4352" width="8.5703125" style="267"/>
    <col min="4353" max="4353" width="32.85546875" style="267" customWidth="1"/>
    <col min="4354" max="4354" width="20.28515625" style="267" customWidth="1"/>
    <col min="4355" max="4355" width="19.85546875" style="267" customWidth="1"/>
    <col min="4356" max="4356" width="19.140625" style="267" customWidth="1"/>
    <col min="4357" max="4357" width="16.42578125" style="267" customWidth="1"/>
    <col min="4358" max="4358" width="22" style="267" customWidth="1"/>
    <col min="4359" max="4608" width="8.5703125" style="267"/>
    <col min="4609" max="4609" width="32.85546875" style="267" customWidth="1"/>
    <col min="4610" max="4610" width="20.28515625" style="267" customWidth="1"/>
    <col min="4611" max="4611" width="19.85546875" style="267" customWidth="1"/>
    <col min="4612" max="4612" width="19.140625" style="267" customWidth="1"/>
    <col min="4613" max="4613" width="16.42578125" style="267" customWidth="1"/>
    <col min="4614" max="4614" width="22" style="267" customWidth="1"/>
    <col min="4615" max="4864" width="8.5703125" style="267"/>
    <col min="4865" max="4865" width="32.85546875" style="267" customWidth="1"/>
    <col min="4866" max="4866" width="20.28515625" style="267" customWidth="1"/>
    <col min="4867" max="4867" width="19.85546875" style="267" customWidth="1"/>
    <col min="4868" max="4868" width="19.140625" style="267" customWidth="1"/>
    <col min="4869" max="4869" width="16.42578125" style="267" customWidth="1"/>
    <col min="4870" max="4870" width="22" style="267" customWidth="1"/>
    <col min="4871" max="5120" width="8.5703125" style="267"/>
    <col min="5121" max="5121" width="32.85546875" style="267" customWidth="1"/>
    <col min="5122" max="5122" width="20.28515625" style="267" customWidth="1"/>
    <col min="5123" max="5123" width="19.85546875" style="267" customWidth="1"/>
    <col min="5124" max="5124" width="19.140625" style="267" customWidth="1"/>
    <col min="5125" max="5125" width="16.42578125" style="267" customWidth="1"/>
    <col min="5126" max="5126" width="22" style="267" customWidth="1"/>
    <col min="5127" max="5376" width="8.5703125" style="267"/>
    <col min="5377" max="5377" width="32.85546875" style="267" customWidth="1"/>
    <col min="5378" max="5378" width="20.28515625" style="267" customWidth="1"/>
    <col min="5379" max="5379" width="19.85546875" style="267" customWidth="1"/>
    <col min="5380" max="5380" width="19.140625" style="267" customWidth="1"/>
    <col min="5381" max="5381" width="16.42578125" style="267" customWidth="1"/>
    <col min="5382" max="5382" width="22" style="267" customWidth="1"/>
    <col min="5383" max="5632" width="8.5703125" style="267"/>
    <col min="5633" max="5633" width="32.85546875" style="267" customWidth="1"/>
    <col min="5634" max="5634" width="20.28515625" style="267" customWidth="1"/>
    <col min="5635" max="5635" width="19.85546875" style="267" customWidth="1"/>
    <col min="5636" max="5636" width="19.140625" style="267" customWidth="1"/>
    <col min="5637" max="5637" width="16.42578125" style="267" customWidth="1"/>
    <col min="5638" max="5638" width="22" style="267" customWidth="1"/>
    <col min="5639" max="5888" width="8.5703125" style="267"/>
    <col min="5889" max="5889" width="32.85546875" style="267" customWidth="1"/>
    <col min="5890" max="5890" width="20.28515625" style="267" customWidth="1"/>
    <col min="5891" max="5891" width="19.85546875" style="267" customWidth="1"/>
    <col min="5892" max="5892" width="19.140625" style="267" customWidth="1"/>
    <col min="5893" max="5893" width="16.42578125" style="267" customWidth="1"/>
    <col min="5894" max="5894" width="22" style="267" customWidth="1"/>
    <col min="5895" max="6144" width="8.5703125" style="267"/>
    <col min="6145" max="6145" width="32.85546875" style="267" customWidth="1"/>
    <col min="6146" max="6146" width="20.28515625" style="267" customWidth="1"/>
    <col min="6147" max="6147" width="19.85546875" style="267" customWidth="1"/>
    <col min="6148" max="6148" width="19.140625" style="267" customWidth="1"/>
    <col min="6149" max="6149" width="16.42578125" style="267" customWidth="1"/>
    <col min="6150" max="6150" width="22" style="267" customWidth="1"/>
    <col min="6151" max="6400" width="8.5703125" style="267"/>
    <col min="6401" max="6401" width="32.85546875" style="267" customWidth="1"/>
    <col min="6402" max="6402" width="20.28515625" style="267" customWidth="1"/>
    <col min="6403" max="6403" width="19.85546875" style="267" customWidth="1"/>
    <col min="6404" max="6404" width="19.140625" style="267" customWidth="1"/>
    <col min="6405" max="6405" width="16.42578125" style="267" customWidth="1"/>
    <col min="6406" max="6406" width="22" style="267" customWidth="1"/>
    <col min="6407" max="6656" width="8.5703125" style="267"/>
    <col min="6657" max="6657" width="32.85546875" style="267" customWidth="1"/>
    <col min="6658" max="6658" width="20.28515625" style="267" customWidth="1"/>
    <col min="6659" max="6659" width="19.85546875" style="267" customWidth="1"/>
    <col min="6660" max="6660" width="19.140625" style="267" customWidth="1"/>
    <col min="6661" max="6661" width="16.42578125" style="267" customWidth="1"/>
    <col min="6662" max="6662" width="22" style="267" customWidth="1"/>
    <col min="6663" max="6912" width="8.5703125" style="267"/>
    <col min="6913" max="6913" width="32.85546875" style="267" customWidth="1"/>
    <col min="6914" max="6914" width="20.28515625" style="267" customWidth="1"/>
    <col min="6915" max="6915" width="19.85546875" style="267" customWidth="1"/>
    <col min="6916" max="6916" width="19.140625" style="267" customWidth="1"/>
    <col min="6917" max="6917" width="16.42578125" style="267" customWidth="1"/>
    <col min="6918" max="6918" width="22" style="267" customWidth="1"/>
    <col min="6919" max="7168" width="8.5703125" style="267"/>
    <col min="7169" max="7169" width="32.85546875" style="267" customWidth="1"/>
    <col min="7170" max="7170" width="20.28515625" style="267" customWidth="1"/>
    <col min="7171" max="7171" width="19.85546875" style="267" customWidth="1"/>
    <col min="7172" max="7172" width="19.140625" style="267" customWidth="1"/>
    <col min="7173" max="7173" width="16.42578125" style="267" customWidth="1"/>
    <col min="7174" max="7174" width="22" style="267" customWidth="1"/>
    <col min="7175" max="7424" width="8.5703125" style="267"/>
    <col min="7425" max="7425" width="32.85546875" style="267" customWidth="1"/>
    <col min="7426" max="7426" width="20.28515625" style="267" customWidth="1"/>
    <col min="7427" max="7427" width="19.85546875" style="267" customWidth="1"/>
    <col min="7428" max="7428" width="19.140625" style="267" customWidth="1"/>
    <col min="7429" max="7429" width="16.42578125" style="267" customWidth="1"/>
    <col min="7430" max="7430" width="22" style="267" customWidth="1"/>
    <col min="7431" max="7680" width="8.5703125" style="267"/>
    <col min="7681" max="7681" width="32.85546875" style="267" customWidth="1"/>
    <col min="7682" max="7682" width="20.28515625" style="267" customWidth="1"/>
    <col min="7683" max="7683" width="19.85546875" style="267" customWidth="1"/>
    <col min="7684" max="7684" width="19.140625" style="267" customWidth="1"/>
    <col min="7685" max="7685" width="16.42578125" style="267" customWidth="1"/>
    <col min="7686" max="7686" width="22" style="267" customWidth="1"/>
    <col min="7687" max="7936" width="8.5703125" style="267"/>
    <col min="7937" max="7937" width="32.85546875" style="267" customWidth="1"/>
    <col min="7938" max="7938" width="20.28515625" style="267" customWidth="1"/>
    <col min="7939" max="7939" width="19.85546875" style="267" customWidth="1"/>
    <col min="7940" max="7940" width="19.140625" style="267" customWidth="1"/>
    <col min="7941" max="7941" width="16.42578125" style="267" customWidth="1"/>
    <col min="7942" max="7942" width="22" style="267" customWidth="1"/>
    <col min="7943" max="8192" width="8.5703125" style="267"/>
    <col min="8193" max="8193" width="32.85546875" style="267" customWidth="1"/>
    <col min="8194" max="8194" width="20.28515625" style="267" customWidth="1"/>
    <col min="8195" max="8195" width="19.85546875" style="267" customWidth="1"/>
    <col min="8196" max="8196" width="19.140625" style="267" customWidth="1"/>
    <col min="8197" max="8197" width="16.42578125" style="267" customWidth="1"/>
    <col min="8198" max="8198" width="22" style="267" customWidth="1"/>
    <col min="8199" max="8448" width="8.5703125" style="267"/>
    <col min="8449" max="8449" width="32.85546875" style="267" customWidth="1"/>
    <col min="8450" max="8450" width="20.28515625" style="267" customWidth="1"/>
    <col min="8451" max="8451" width="19.85546875" style="267" customWidth="1"/>
    <col min="8452" max="8452" width="19.140625" style="267" customWidth="1"/>
    <col min="8453" max="8453" width="16.42578125" style="267" customWidth="1"/>
    <col min="8454" max="8454" width="22" style="267" customWidth="1"/>
    <col min="8455" max="8704" width="8.5703125" style="267"/>
    <col min="8705" max="8705" width="32.85546875" style="267" customWidth="1"/>
    <col min="8706" max="8706" width="20.28515625" style="267" customWidth="1"/>
    <col min="8707" max="8707" width="19.85546875" style="267" customWidth="1"/>
    <col min="8708" max="8708" width="19.140625" style="267" customWidth="1"/>
    <col min="8709" max="8709" width="16.42578125" style="267" customWidth="1"/>
    <col min="8710" max="8710" width="22" style="267" customWidth="1"/>
    <col min="8711" max="8960" width="8.5703125" style="267"/>
    <col min="8961" max="8961" width="32.85546875" style="267" customWidth="1"/>
    <col min="8962" max="8962" width="20.28515625" style="267" customWidth="1"/>
    <col min="8963" max="8963" width="19.85546875" style="267" customWidth="1"/>
    <col min="8964" max="8964" width="19.140625" style="267" customWidth="1"/>
    <col min="8965" max="8965" width="16.42578125" style="267" customWidth="1"/>
    <col min="8966" max="8966" width="22" style="267" customWidth="1"/>
    <col min="8967" max="9216" width="8.5703125" style="267"/>
    <col min="9217" max="9217" width="32.85546875" style="267" customWidth="1"/>
    <col min="9218" max="9218" width="20.28515625" style="267" customWidth="1"/>
    <col min="9219" max="9219" width="19.85546875" style="267" customWidth="1"/>
    <col min="9220" max="9220" width="19.140625" style="267" customWidth="1"/>
    <col min="9221" max="9221" width="16.42578125" style="267" customWidth="1"/>
    <col min="9222" max="9222" width="22" style="267" customWidth="1"/>
    <col min="9223" max="9472" width="8.5703125" style="267"/>
    <col min="9473" max="9473" width="32.85546875" style="267" customWidth="1"/>
    <col min="9474" max="9474" width="20.28515625" style="267" customWidth="1"/>
    <col min="9475" max="9475" width="19.85546875" style="267" customWidth="1"/>
    <col min="9476" max="9476" width="19.140625" style="267" customWidth="1"/>
    <col min="9477" max="9477" width="16.42578125" style="267" customWidth="1"/>
    <col min="9478" max="9478" width="22" style="267" customWidth="1"/>
    <col min="9479" max="9728" width="8.5703125" style="267"/>
    <col min="9729" max="9729" width="32.85546875" style="267" customWidth="1"/>
    <col min="9730" max="9730" width="20.28515625" style="267" customWidth="1"/>
    <col min="9731" max="9731" width="19.85546875" style="267" customWidth="1"/>
    <col min="9732" max="9732" width="19.140625" style="267" customWidth="1"/>
    <col min="9733" max="9733" width="16.42578125" style="267" customWidth="1"/>
    <col min="9734" max="9734" width="22" style="267" customWidth="1"/>
    <col min="9735" max="9984" width="8.5703125" style="267"/>
    <col min="9985" max="9985" width="32.85546875" style="267" customWidth="1"/>
    <col min="9986" max="9986" width="20.28515625" style="267" customWidth="1"/>
    <col min="9987" max="9987" width="19.85546875" style="267" customWidth="1"/>
    <col min="9988" max="9988" width="19.140625" style="267" customWidth="1"/>
    <col min="9989" max="9989" width="16.42578125" style="267" customWidth="1"/>
    <col min="9990" max="9990" width="22" style="267" customWidth="1"/>
    <col min="9991" max="10240" width="8.5703125" style="267"/>
    <col min="10241" max="10241" width="32.85546875" style="267" customWidth="1"/>
    <col min="10242" max="10242" width="20.28515625" style="267" customWidth="1"/>
    <col min="10243" max="10243" width="19.85546875" style="267" customWidth="1"/>
    <col min="10244" max="10244" width="19.140625" style="267" customWidth="1"/>
    <col min="10245" max="10245" width="16.42578125" style="267" customWidth="1"/>
    <col min="10246" max="10246" width="22" style="267" customWidth="1"/>
    <col min="10247" max="10496" width="8.5703125" style="267"/>
    <col min="10497" max="10497" width="32.85546875" style="267" customWidth="1"/>
    <col min="10498" max="10498" width="20.28515625" style="267" customWidth="1"/>
    <col min="10499" max="10499" width="19.85546875" style="267" customWidth="1"/>
    <col min="10500" max="10500" width="19.140625" style="267" customWidth="1"/>
    <col min="10501" max="10501" width="16.42578125" style="267" customWidth="1"/>
    <col min="10502" max="10502" width="22" style="267" customWidth="1"/>
    <col min="10503" max="10752" width="8.5703125" style="267"/>
    <col min="10753" max="10753" width="32.85546875" style="267" customWidth="1"/>
    <col min="10754" max="10754" width="20.28515625" style="267" customWidth="1"/>
    <col min="10755" max="10755" width="19.85546875" style="267" customWidth="1"/>
    <col min="10756" max="10756" width="19.140625" style="267" customWidth="1"/>
    <col min="10757" max="10757" width="16.42578125" style="267" customWidth="1"/>
    <col min="10758" max="10758" width="22" style="267" customWidth="1"/>
    <col min="10759" max="11008" width="8.5703125" style="267"/>
    <col min="11009" max="11009" width="32.85546875" style="267" customWidth="1"/>
    <col min="11010" max="11010" width="20.28515625" style="267" customWidth="1"/>
    <col min="11011" max="11011" width="19.85546875" style="267" customWidth="1"/>
    <col min="11012" max="11012" width="19.140625" style="267" customWidth="1"/>
    <col min="11013" max="11013" width="16.42578125" style="267" customWidth="1"/>
    <col min="11014" max="11014" width="22" style="267" customWidth="1"/>
    <col min="11015" max="11264" width="8.5703125" style="267"/>
    <col min="11265" max="11265" width="32.85546875" style="267" customWidth="1"/>
    <col min="11266" max="11266" width="20.28515625" style="267" customWidth="1"/>
    <col min="11267" max="11267" width="19.85546875" style="267" customWidth="1"/>
    <col min="11268" max="11268" width="19.140625" style="267" customWidth="1"/>
    <col min="11269" max="11269" width="16.42578125" style="267" customWidth="1"/>
    <col min="11270" max="11270" width="22" style="267" customWidth="1"/>
    <col min="11271" max="11520" width="8.5703125" style="267"/>
    <col min="11521" max="11521" width="32.85546875" style="267" customWidth="1"/>
    <col min="11522" max="11522" width="20.28515625" style="267" customWidth="1"/>
    <col min="11523" max="11523" width="19.85546875" style="267" customWidth="1"/>
    <col min="11524" max="11524" width="19.140625" style="267" customWidth="1"/>
    <col min="11525" max="11525" width="16.42578125" style="267" customWidth="1"/>
    <col min="11526" max="11526" width="22" style="267" customWidth="1"/>
    <col min="11527" max="11776" width="8.5703125" style="267"/>
    <col min="11777" max="11777" width="32.85546875" style="267" customWidth="1"/>
    <col min="11778" max="11778" width="20.28515625" style="267" customWidth="1"/>
    <col min="11779" max="11779" width="19.85546875" style="267" customWidth="1"/>
    <col min="11780" max="11780" width="19.140625" style="267" customWidth="1"/>
    <col min="11781" max="11781" width="16.42578125" style="267" customWidth="1"/>
    <col min="11782" max="11782" width="22" style="267" customWidth="1"/>
    <col min="11783" max="12032" width="8.5703125" style="267"/>
    <col min="12033" max="12033" width="32.85546875" style="267" customWidth="1"/>
    <col min="12034" max="12034" width="20.28515625" style="267" customWidth="1"/>
    <col min="12035" max="12035" width="19.85546875" style="267" customWidth="1"/>
    <col min="12036" max="12036" width="19.140625" style="267" customWidth="1"/>
    <col min="12037" max="12037" width="16.42578125" style="267" customWidth="1"/>
    <col min="12038" max="12038" width="22" style="267" customWidth="1"/>
    <col min="12039" max="12288" width="8.5703125" style="267"/>
    <col min="12289" max="12289" width="32.85546875" style="267" customWidth="1"/>
    <col min="12290" max="12290" width="20.28515625" style="267" customWidth="1"/>
    <col min="12291" max="12291" width="19.85546875" style="267" customWidth="1"/>
    <col min="12292" max="12292" width="19.140625" style="267" customWidth="1"/>
    <col min="12293" max="12293" width="16.42578125" style="267" customWidth="1"/>
    <col min="12294" max="12294" width="22" style="267" customWidth="1"/>
    <col min="12295" max="12544" width="8.5703125" style="267"/>
    <col min="12545" max="12545" width="32.85546875" style="267" customWidth="1"/>
    <col min="12546" max="12546" width="20.28515625" style="267" customWidth="1"/>
    <col min="12547" max="12547" width="19.85546875" style="267" customWidth="1"/>
    <col min="12548" max="12548" width="19.140625" style="267" customWidth="1"/>
    <col min="12549" max="12549" width="16.42578125" style="267" customWidth="1"/>
    <col min="12550" max="12550" width="22" style="267" customWidth="1"/>
    <col min="12551" max="12800" width="8.5703125" style="267"/>
    <col min="12801" max="12801" width="32.85546875" style="267" customWidth="1"/>
    <col min="12802" max="12802" width="20.28515625" style="267" customWidth="1"/>
    <col min="12803" max="12803" width="19.85546875" style="267" customWidth="1"/>
    <col min="12804" max="12804" width="19.140625" style="267" customWidth="1"/>
    <col min="12805" max="12805" width="16.42578125" style="267" customWidth="1"/>
    <col min="12806" max="12806" width="22" style="267" customWidth="1"/>
    <col min="12807" max="13056" width="8.5703125" style="267"/>
    <col min="13057" max="13057" width="32.85546875" style="267" customWidth="1"/>
    <col min="13058" max="13058" width="20.28515625" style="267" customWidth="1"/>
    <col min="13059" max="13059" width="19.85546875" style="267" customWidth="1"/>
    <col min="13060" max="13060" width="19.140625" style="267" customWidth="1"/>
    <col min="13061" max="13061" width="16.42578125" style="267" customWidth="1"/>
    <col min="13062" max="13062" width="22" style="267" customWidth="1"/>
    <col min="13063" max="13312" width="8.5703125" style="267"/>
    <col min="13313" max="13313" width="32.85546875" style="267" customWidth="1"/>
    <col min="13314" max="13314" width="20.28515625" style="267" customWidth="1"/>
    <col min="13315" max="13315" width="19.85546875" style="267" customWidth="1"/>
    <col min="13316" max="13316" width="19.140625" style="267" customWidth="1"/>
    <col min="13317" max="13317" width="16.42578125" style="267" customWidth="1"/>
    <col min="13318" max="13318" width="22" style="267" customWidth="1"/>
    <col min="13319" max="13568" width="8.5703125" style="267"/>
    <col min="13569" max="13569" width="32.85546875" style="267" customWidth="1"/>
    <col min="13570" max="13570" width="20.28515625" style="267" customWidth="1"/>
    <col min="13571" max="13571" width="19.85546875" style="267" customWidth="1"/>
    <col min="13572" max="13572" width="19.140625" style="267" customWidth="1"/>
    <col min="13573" max="13573" width="16.42578125" style="267" customWidth="1"/>
    <col min="13574" max="13574" width="22" style="267" customWidth="1"/>
    <col min="13575" max="13824" width="8.5703125" style="267"/>
    <col min="13825" max="13825" width="32.85546875" style="267" customWidth="1"/>
    <col min="13826" max="13826" width="20.28515625" style="267" customWidth="1"/>
    <col min="13827" max="13827" width="19.85546875" style="267" customWidth="1"/>
    <col min="13828" max="13828" width="19.140625" style="267" customWidth="1"/>
    <col min="13829" max="13829" width="16.42578125" style="267" customWidth="1"/>
    <col min="13830" max="13830" width="22" style="267" customWidth="1"/>
    <col min="13831" max="14080" width="8.5703125" style="267"/>
    <col min="14081" max="14081" width="32.85546875" style="267" customWidth="1"/>
    <col min="14082" max="14082" width="20.28515625" style="267" customWidth="1"/>
    <col min="14083" max="14083" width="19.85546875" style="267" customWidth="1"/>
    <col min="14084" max="14084" width="19.140625" style="267" customWidth="1"/>
    <col min="14085" max="14085" width="16.42578125" style="267" customWidth="1"/>
    <col min="14086" max="14086" width="22" style="267" customWidth="1"/>
    <col min="14087" max="14336" width="8.5703125" style="267"/>
    <col min="14337" max="14337" width="32.85546875" style="267" customWidth="1"/>
    <col min="14338" max="14338" width="20.28515625" style="267" customWidth="1"/>
    <col min="14339" max="14339" width="19.85546875" style="267" customWidth="1"/>
    <col min="14340" max="14340" width="19.140625" style="267" customWidth="1"/>
    <col min="14341" max="14341" width="16.42578125" style="267" customWidth="1"/>
    <col min="14342" max="14342" width="22" style="267" customWidth="1"/>
    <col min="14343" max="14592" width="8.5703125" style="267"/>
    <col min="14593" max="14593" width="32.85546875" style="267" customWidth="1"/>
    <col min="14594" max="14594" width="20.28515625" style="267" customWidth="1"/>
    <col min="14595" max="14595" width="19.85546875" style="267" customWidth="1"/>
    <col min="14596" max="14596" width="19.140625" style="267" customWidth="1"/>
    <col min="14597" max="14597" width="16.42578125" style="267" customWidth="1"/>
    <col min="14598" max="14598" width="22" style="267" customWidth="1"/>
    <col min="14599" max="14848" width="8.5703125" style="267"/>
    <col min="14849" max="14849" width="32.85546875" style="267" customWidth="1"/>
    <col min="14850" max="14850" width="20.28515625" style="267" customWidth="1"/>
    <col min="14851" max="14851" width="19.85546875" style="267" customWidth="1"/>
    <col min="14852" max="14852" width="19.140625" style="267" customWidth="1"/>
    <col min="14853" max="14853" width="16.42578125" style="267" customWidth="1"/>
    <col min="14854" max="14854" width="22" style="267" customWidth="1"/>
    <col min="14855" max="15104" width="8.5703125" style="267"/>
    <col min="15105" max="15105" width="32.85546875" style="267" customWidth="1"/>
    <col min="15106" max="15106" width="20.28515625" style="267" customWidth="1"/>
    <col min="15107" max="15107" width="19.85546875" style="267" customWidth="1"/>
    <col min="15108" max="15108" width="19.140625" style="267" customWidth="1"/>
    <col min="15109" max="15109" width="16.42578125" style="267" customWidth="1"/>
    <col min="15110" max="15110" width="22" style="267" customWidth="1"/>
    <col min="15111" max="15360" width="8.5703125" style="267"/>
    <col min="15361" max="15361" width="32.85546875" style="267" customWidth="1"/>
    <col min="15362" max="15362" width="20.28515625" style="267" customWidth="1"/>
    <col min="15363" max="15363" width="19.85546875" style="267" customWidth="1"/>
    <col min="15364" max="15364" width="19.140625" style="267" customWidth="1"/>
    <col min="15365" max="15365" width="16.42578125" style="267" customWidth="1"/>
    <col min="15366" max="15366" width="22" style="267" customWidth="1"/>
    <col min="15367" max="15616" width="8.5703125" style="267"/>
    <col min="15617" max="15617" width="32.85546875" style="267" customWidth="1"/>
    <col min="15618" max="15618" width="20.28515625" style="267" customWidth="1"/>
    <col min="15619" max="15619" width="19.85546875" style="267" customWidth="1"/>
    <col min="15620" max="15620" width="19.140625" style="267" customWidth="1"/>
    <col min="15621" max="15621" width="16.42578125" style="267" customWidth="1"/>
    <col min="15622" max="15622" width="22" style="267" customWidth="1"/>
    <col min="15623" max="15872" width="8.5703125" style="267"/>
    <col min="15873" max="15873" width="32.85546875" style="267" customWidth="1"/>
    <col min="15874" max="15874" width="20.28515625" style="267" customWidth="1"/>
    <col min="15875" max="15875" width="19.85546875" style="267" customWidth="1"/>
    <col min="15876" max="15876" width="19.140625" style="267" customWidth="1"/>
    <col min="15877" max="15877" width="16.42578125" style="267" customWidth="1"/>
    <col min="15878" max="15878" width="22" style="267" customWidth="1"/>
    <col min="15879" max="16128" width="8.5703125" style="267"/>
    <col min="16129" max="16129" width="32.85546875" style="267" customWidth="1"/>
    <col min="16130" max="16130" width="20.28515625" style="267" customWidth="1"/>
    <col min="16131" max="16131" width="19.85546875" style="267" customWidth="1"/>
    <col min="16132" max="16132" width="19.140625" style="267" customWidth="1"/>
    <col min="16133" max="16133" width="16.42578125" style="267" customWidth="1"/>
    <col min="16134" max="16134" width="22" style="267" customWidth="1"/>
    <col min="16135" max="16384" width="8.5703125" style="267"/>
  </cols>
  <sheetData>
    <row r="1" spans="1:6" x14ac:dyDescent="0.25">
      <c r="D1" s="397" t="s">
        <v>510</v>
      </c>
      <c r="E1" s="397"/>
      <c r="F1" s="397"/>
    </row>
    <row r="2" spans="1:6" x14ac:dyDescent="0.25">
      <c r="D2" s="398" t="s">
        <v>199</v>
      </c>
      <c r="E2" s="398"/>
      <c r="F2" s="398"/>
    </row>
    <row r="3" spans="1:6" ht="15.75" x14ac:dyDescent="0.25">
      <c r="A3" s="399" t="s">
        <v>100</v>
      </c>
      <c r="B3" s="399"/>
      <c r="C3" s="399"/>
      <c r="D3" s="399"/>
      <c r="E3" s="399"/>
      <c r="F3" s="399"/>
    </row>
    <row r="4" spans="1:6" ht="15.75" x14ac:dyDescent="0.25">
      <c r="A4" s="400"/>
      <c r="B4" s="400"/>
      <c r="C4" s="400"/>
      <c r="D4" s="400"/>
      <c r="E4" s="400"/>
      <c r="F4" s="400"/>
    </row>
    <row r="5" spans="1:6" ht="36" x14ac:dyDescent="0.25">
      <c r="A5" s="268" t="s">
        <v>188</v>
      </c>
      <c r="B5" s="268" t="s">
        <v>189</v>
      </c>
      <c r="C5" s="268" t="s">
        <v>513</v>
      </c>
      <c r="D5" s="268" t="s">
        <v>190</v>
      </c>
      <c r="E5" s="268" t="s">
        <v>514</v>
      </c>
      <c r="F5" s="268" t="s">
        <v>200</v>
      </c>
    </row>
    <row r="6" spans="1:6" x14ac:dyDescent="0.25">
      <c r="A6" s="320" t="s">
        <v>191</v>
      </c>
      <c r="B6" s="320"/>
      <c r="C6" s="321"/>
      <c r="D6" s="321"/>
      <c r="E6" s="321"/>
      <c r="F6" s="320"/>
    </row>
    <row r="7" spans="1:6" x14ac:dyDescent="0.25">
      <c r="A7" s="322" t="s">
        <v>192</v>
      </c>
      <c r="B7" s="322"/>
      <c r="C7" s="323"/>
      <c r="D7" s="323"/>
      <c r="E7" s="323"/>
      <c r="F7" s="322"/>
    </row>
    <row r="8" spans="1:6" x14ac:dyDescent="0.25">
      <c r="A8" s="320" t="s">
        <v>193</v>
      </c>
      <c r="B8" s="320" t="s">
        <v>368</v>
      </c>
      <c r="C8" s="321">
        <v>11475.03</v>
      </c>
      <c r="D8" s="321">
        <v>5124.17</v>
      </c>
      <c r="E8" s="321">
        <v>6350.86</v>
      </c>
      <c r="F8" s="320"/>
    </row>
    <row r="9" spans="1:6" x14ac:dyDescent="0.25">
      <c r="A9" s="322" t="s">
        <v>192</v>
      </c>
      <c r="B9" s="322"/>
      <c r="C9" s="323"/>
      <c r="D9" s="323"/>
      <c r="E9" s="323"/>
      <c r="F9" s="322"/>
    </row>
    <row r="10" spans="1:6" x14ac:dyDescent="0.25">
      <c r="A10" s="320" t="s">
        <v>193</v>
      </c>
      <c r="B10" s="320" t="s">
        <v>369</v>
      </c>
      <c r="C10" s="321">
        <v>753.11</v>
      </c>
      <c r="D10" s="321">
        <v>753.11</v>
      </c>
      <c r="E10" s="321"/>
      <c r="F10" s="322"/>
    </row>
    <row r="11" spans="1:6" x14ac:dyDescent="0.25">
      <c r="A11" s="322" t="s">
        <v>192</v>
      </c>
      <c r="B11" s="322"/>
      <c r="C11" s="323"/>
      <c r="D11" s="323"/>
      <c r="E11" s="323"/>
      <c r="F11" s="322"/>
    </row>
    <row r="12" spans="1:6" x14ac:dyDescent="0.25">
      <c r="A12" s="320" t="s">
        <v>194</v>
      </c>
      <c r="B12" s="320" t="s">
        <v>368</v>
      </c>
      <c r="C12" s="321">
        <v>35956.449999999997</v>
      </c>
      <c r="D12" s="321">
        <v>9964.82</v>
      </c>
      <c r="E12" s="321">
        <v>25991.62</v>
      </c>
      <c r="F12" s="320"/>
    </row>
    <row r="13" spans="1:6" x14ac:dyDescent="0.25">
      <c r="A13" s="322" t="s">
        <v>192</v>
      </c>
      <c r="B13" s="322"/>
      <c r="C13" s="323"/>
      <c r="D13" s="323"/>
      <c r="E13" s="323"/>
      <c r="F13" s="320"/>
    </row>
    <row r="14" spans="1:6" x14ac:dyDescent="0.25">
      <c r="A14" s="320" t="s">
        <v>194</v>
      </c>
      <c r="B14" s="320" t="s">
        <v>369</v>
      </c>
      <c r="C14" s="321">
        <v>610.92999999999995</v>
      </c>
      <c r="D14" s="321">
        <v>586</v>
      </c>
      <c r="E14" s="321">
        <v>224.93</v>
      </c>
      <c r="F14" s="320"/>
    </row>
    <row r="15" spans="1:6" x14ac:dyDescent="0.25">
      <c r="A15" s="322" t="s">
        <v>192</v>
      </c>
      <c r="B15" s="322"/>
      <c r="C15" s="323"/>
      <c r="D15" s="323"/>
      <c r="E15" s="323"/>
      <c r="F15" s="322"/>
    </row>
    <row r="16" spans="1:6" x14ac:dyDescent="0.25">
      <c r="A16" s="320" t="s">
        <v>195</v>
      </c>
      <c r="B16" s="320" t="s">
        <v>368</v>
      </c>
      <c r="C16" s="321">
        <v>3177.61</v>
      </c>
      <c r="D16" s="321">
        <v>3177.61</v>
      </c>
      <c r="E16" s="321"/>
      <c r="F16" s="320"/>
    </row>
    <row r="17" spans="1:41" x14ac:dyDescent="0.25">
      <c r="A17" s="322" t="s">
        <v>192</v>
      </c>
      <c r="B17" s="322"/>
      <c r="C17" s="323"/>
      <c r="D17" s="323"/>
      <c r="E17" s="323"/>
      <c r="F17" s="322"/>
    </row>
    <row r="18" spans="1:41" x14ac:dyDescent="0.25">
      <c r="A18" s="320" t="s">
        <v>195</v>
      </c>
      <c r="B18" s="320" t="s">
        <v>369</v>
      </c>
      <c r="C18" s="323"/>
      <c r="D18" s="321"/>
      <c r="E18" s="321"/>
      <c r="F18" s="322"/>
    </row>
    <row r="19" spans="1:41" x14ac:dyDescent="0.25">
      <c r="A19" s="322" t="s">
        <v>192</v>
      </c>
      <c r="B19" s="322"/>
      <c r="C19" s="323"/>
      <c r="D19" s="323"/>
      <c r="E19" s="323"/>
      <c r="F19" s="322"/>
    </row>
    <row r="20" spans="1:41" x14ac:dyDescent="0.25">
      <c r="A20" s="320" t="s">
        <v>196</v>
      </c>
      <c r="B20" s="320" t="s">
        <v>368</v>
      </c>
      <c r="C20" s="321">
        <v>104.04</v>
      </c>
      <c r="D20" s="321">
        <v>77.06</v>
      </c>
      <c r="E20" s="321">
        <v>26.98</v>
      </c>
      <c r="F20" s="320"/>
    </row>
    <row r="21" spans="1:41" x14ac:dyDescent="0.25">
      <c r="A21" s="322" t="s">
        <v>192</v>
      </c>
      <c r="B21" s="322"/>
      <c r="C21" s="323"/>
      <c r="D21" s="323"/>
      <c r="E21" s="323"/>
      <c r="F21" s="322"/>
    </row>
    <row r="22" spans="1:41" x14ac:dyDescent="0.25">
      <c r="A22" s="320" t="s">
        <v>196</v>
      </c>
      <c r="B22" s="320" t="s">
        <v>369</v>
      </c>
      <c r="C22" s="321">
        <v>13.12</v>
      </c>
      <c r="D22" s="321">
        <v>13.12</v>
      </c>
      <c r="E22" s="321"/>
      <c r="F22" s="322"/>
    </row>
    <row r="23" spans="1:41" x14ac:dyDescent="0.25">
      <c r="A23" s="322" t="s">
        <v>192</v>
      </c>
      <c r="B23" s="322"/>
      <c r="C23" s="323"/>
      <c r="D23" s="323"/>
      <c r="E23" s="323"/>
      <c r="F23" s="322"/>
    </row>
    <row r="24" spans="1:41" x14ac:dyDescent="0.25">
      <c r="A24" s="320" t="s">
        <v>197</v>
      </c>
      <c r="B24" s="320" t="s">
        <v>368</v>
      </c>
      <c r="C24" s="321">
        <v>0.81</v>
      </c>
      <c r="D24" s="321">
        <v>0.81</v>
      </c>
      <c r="E24" s="321">
        <v>0</v>
      </c>
      <c r="F24" s="320"/>
    </row>
    <row r="25" spans="1:41" x14ac:dyDescent="0.25">
      <c r="A25" s="322" t="s">
        <v>192</v>
      </c>
      <c r="B25" s="322"/>
      <c r="C25" s="323"/>
      <c r="D25" s="323"/>
      <c r="E25" s="323"/>
      <c r="F25" s="322"/>
    </row>
    <row r="26" spans="1:41" x14ac:dyDescent="0.25">
      <c r="A26" s="320" t="s">
        <v>197</v>
      </c>
      <c r="B26" s="320" t="s">
        <v>369</v>
      </c>
      <c r="C26" s="321">
        <v>4.71</v>
      </c>
      <c r="D26" s="321">
        <v>4.71</v>
      </c>
      <c r="E26" s="321"/>
      <c r="F26" s="322"/>
    </row>
    <row r="27" spans="1:41" x14ac:dyDescent="0.25">
      <c r="A27" s="322" t="s">
        <v>192</v>
      </c>
      <c r="B27" s="322"/>
      <c r="C27" s="323"/>
      <c r="D27" s="323"/>
      <c r="E27" s="323"/>
      <c r="F27" s="322"/>
    </row>
    <row r="28" spans="1:41" x14ac:dyDescent="0.25">
      <c r="A28" s="320" t="s">
        <v>198</v>
      </c>
      <c r="B28" s="320"/>
      <c r="C28" s="321">
        <f>SUM(C8:C27)</f>
        <v>52095.81</v>
      </c>
      <c r="D28" s="321">
        <f>SUM(D8:D27)</f>
        <v>19701.41</v>
      </c>
      <c r="E28" s="321">
        <f>SUM(E8:E27)</f>
        <v>32594.39</v>
      </c>
      <c r="F28" s="321">
        <f>SUM(F8:F27)</f>
        <v>0</v>
      </c>
    </row>
    <row r="29" spans="1:41" customFormat="1" ht="15.75" x14ac:dyDescent="0.25">
      <c r="A29" s="290" t="s">
        <v>191</v>
      </c>
      <c r="B29" s="290" t="s">
        <v>382</v>
      </c>
      <c r="C29" s="291">
        <v>0</v>
      </c>
      <c r="D29" s="291">
        <v>0</v>
      </c>
      <c r="E29" s="291">
        <v>0</v>
      </c>
      <c r="F29" s="290" t="s">
        <v>382</v>
      </c>
      <c r="AJ29" s="267"/>
      <c r="AK29" s="267"/>
      <c r="AL29" s="267"/>
      <c r="AM29" s="267"/>
      <c r="AN29" s="267"/>
      <c r="AO29" s="267"/>
    </row>
    <row r="30" spans="1:41" customFormat="1" ht="15.75" x14ac:dyDescent="0.25">
      <c r="A30" s="292" t="s">
        <v>192</v>
      </c>
      <c r="B30" s="292" t="s">
        <v>382</v>
      </c>
      <c r="C30" s="293">
        <v>0</v>
      </c>
      <c r="D30" s="293">
        <v>0</v>
      </c>
      <c r="E30" s="293">
        <v>0</v>
      </c>
      <c r="F30" s="292" t="s">
        <v>382</v>
      </c>
      <c r="AJ30" s="267"/>
      <c r="AK30" s="267"/>
      <c r="AL30" s="267"/>
      <c r="AM30" s="267"/>
      <c r="AN30" s="267"/>
      <c r="AO30" s="267"/>
    </row>
    <row r="31" spans="1:41" customFormat="1" ht="15.75" x14ac:dyDescent="0.25">
      <c r="A31" s="290" t="s">
        <v>383</v>
      </c>
      <c r="B31" s="290" t="s">
        <v>382</v>
      </c>
      <c r="C31" s="294">
        <f>C33+C34+C35+C36+C37+C38+C39+C40+C41+C42+C43+C44+C45</f>
        <v>4630.6660000000002</v>
      </c>
      <c r="D31" s="294">
        <f>D33+D34+D35+D36+D37+D38+D39+D40+D41+D42+D43+D44+D45</f>
        <v>2510.0849999999996</v>
      </c>
      <c r="E31" s="294">
        <f>C31-D31</f>
        <v>2120.5810000000006</v>
      </c>
      <c r="F31" s="290"/>
      <c r="AJ31" s="267"/>
      <c r="AK31" s="267"/>
      <c r="AL31" s="267"/>
      <c r="AM31" s="267"/>
      <c r="AN31" s="267"/>
      <c r="AO31" s="267"/>
    </row>
    <row r="32" spans="1:41" customFormat="1" ht="15.75" x14ac:dyDescent="0.25">
      <c r="A32" s="292" t="s">
        <v>192</v>
      </c>
      <c r="B32" s="290" t="s">
        <v>382</v>
      </c>
      <c r="C32" s="291"/>
      <c r="D32" s="291"/>
      <c r="E32" s="291"/>
      <c r="F32" s="290" t="s">
        <v>382</v>
      </c>
      <c r="AJ32" s="267"/>
      <c r="AK32" s="267"/>
      <c r="AL32" s="267"/>
      <c r="AM32" s="267"/>
      <c r="AN32" s="267"/>
      <c r="AO32" s="267"/>
    </row>
    <row r="33" spans="1:41" customFormat="1" ht="30" customHeight="1" x14ac:dyDescent="0.25">
      <c r="A33" s="295" t="s">
        <v>384</v>
      </c>
      <c r="B33" s="292" t="s">
        <v>385</v>
      </c>
      <c r="C33" s="293">
        <v>350.48399999999998</v>
      </c>
      <c r="D33" s="293">
        <v>350.48399999999998</v>
      </c>
      <c r="E33" s="293">
        <f t="shared" ref="E33:E45" si="0">C33-D33</f>
        <v>0</v>
      </c>
      <c r="F33" s="296" t="s">
        <v>386</v>
      </c>
      <c r="AJ33" s="267"/>
      <c r="AK33" s="267"/>
      <c r="AL33" s="267"/>
      <c r="AM33" s="267"/>
      <c r="AN33" s="267"/>
      <c r="AO33" s="267"/>
    </row>
    <row r="34" spans="1:41" customFormat="1" ht="31.5" x14ac:dyDescent="0.25">
      <c r="A34" s="295" t="s">
        <v>387</v>
      </c>
      <c r="B34" s="292" t="s">
        <v>388</v>
      </c>
      <c r="C34" s="293">
        <v>2649.9479999999999</v>
      </c>
      <c r="D34" s="293">
        <v>583.73699999999997</v>
      </c>
      <c r="E34" s="293">
        <f t="shared" si="0"/>
        <v>2066.2109999999998</v>
      </c>
      <c r="F34" s="297" t="s">
        <v>389</v>
      </c>
      <c r="AJ34" s="267"/>
      <c r="AK34" s="267"/>
      <c r="AL34" s="267"/>
      <c r="AM34" s="267"/>
      <c r="AN34" s="267"/>
      <c r="AO34" s="267"/>
    </row>
    <row r="35" spans="1:41" customFormat="1" ht="31.5" x14ac:dyDescent="0.25">
      <c r="A35" s="295" t="s">
        <v>390</v>
      </c>
      <c r="B35" s="292" t="s">
        <v>391</v>
      </c>
      <c r="C35" s="293">
        <v>181.88499999999999</v>
      </c>
      <c r="D35" s="293">
        <v>154.58500000000001</v>
      </c>
      <c r="E35" s="293">
        <f t="shared" si="0"/>
        <v>27.299999999999983</v>
      </c>
      <c r="F35" s="297" t="s">
        <v>389</v>
      </c>
      <c r="AJ35" s="267"/>
      <c r="AK35" s="267"/>
      <c r="AL35" s="267"/>
      <c r="AM35" s="267"/>
      <c r="AN35" s="267"/>
      <c r="AO35" s="267"/>
    </row>
    <row r="36" spans="1:41" customFormat="1" ht="31.5" x14ac:dyDescent="0.25">
      <c r="A36" s="295" t="s">
        <v>392</v>
      </c>
      <c r="B36" s="292" t="s">
        <v>393</v>
      </c>
      <c r="C36" s="293">
        <v>136.84399999999999</v>
      </c>
      <c r="D36" s="293">
        <v>109.874</v>
      </c>
      <c r="E36" s="293">
        <f t="shared" si="0"/>
        <v>26.97</v>
      </c>
      <c r="F36" s="297" t="s">
        <v>389</v>
      </c>
      <c r="AJ36" s="267"/>
      <c r="AK36" s="267"/>
      <c r="AL36" s="267"/>
      <c r="AM36" s="267"/>
      <c r="AN36" s="267"/>
      <c r="AO36" s="267"/>
    </row>
    <row r="37" spans="1:41" customFormat="1" ht="47.25" x14ac:dyDescent="0.25">
      <c r="A37" s="295" t="s">
        <v>394</v>
      </c>
      <c r="B37" s="292" t="s">
        <v>395</v>
      </c>
      <c r="C37" s="293">
        <v>838.16099999999994</v>
      </c>
      <c r="D37" s="293">
        <v>838.16099999999994</v>
      </c>
      <c r="E37" s="293">
        <f t="shared" si="0"/>
        <v>0</v>
      </c>
      <c r="F37" s="297" t="s">
        <v>389</v>
      </c>
      <c r="AJ37" s="267"/>
      <c r="AK37" s="267"/>
      <c r="AL37" s="267"/>
      <c r="AM37" s="267"/>
      <c r="AN37" s="267"/>
      <c r="AO37" s="267"/>
    </row>
    <row r="38" spans="1:41" customFormat="1" ht="47.25" x14ac:dyDescent="0.25">
      <c r="A38" s="295" t="s">
        <v>396</v>
      </c>
      <c r="B38" s="292" t="s">
        <v>397</v>
      </c>
      <c r="C38" s="293">
        <v>56.478999999999999</v>
      </c>
      <c r="D38" s="293">
        <v>56.478999999999999</v>
      </c>
      <c r="E38" s="293">
        <f t="shared" si="0"/>
        <v>0</v>
      </c>
      <c r="F38" s="297" t="s">
        <v>389</v>
      </c>
      <c r="AJ38" s="267"/>
      <c r="AK38" s="267"/>
      <c r="AL38" s="267"/>
      <c r="AM38" s="267"/>
      <c r="AN38" s="267"/>
      <c r="AO38" s="267"/>
    </row>
    <row r="39" spans="1:41" customFormat="1" ht="31.5" x14ac:dyDescent="0.25">
      <c r="A39" s="295" t="s">
        <v>398</v>
      </c>
      <c r="B39" s="292" t="s">
        <v>399</v>
      </c>
      <c r="C39" s="293">
        <v>1.4</v>
      </c>
      <c r="D39" s="293">
        <v>1.3</v>
      </c>
      <c r="E39" s="293">
        <f t="shared" si="0"/>
        <v>9.9999999999999867E-2</v>
      </c>
      <c r="F39" s="296" t="s">
        <v>386</v>
      </c>
      <c r="AJ39" s="267"/>
      <c r="AK39" s="267"/>
      <c r="AL39" s="267"/>
      <c r="AM39" s="267"/>
      <c r="AN39" s="267"/>
      <c r="AO39" s="267"/>
    </row>
    <row r="40" spans="1:41" customFormat="1" ht="15.4" hidden="1" customHeight="1" x14ac:dyDescent="0.25">
      <c r="A40" s="295"/>
      <c r="B40" s="292"/>
      <c r="C40" s="293"/>
      <c r="D40" s="293"/>
      <c r="E40" s="293"/>
      <c r="F40" s="296"/>
      <c r="AJ40" s="267"/>
      <c r="AK40" s="267"/>
      <c r="AL40" s="267"/>
      <c r="AM40" s="267"/>
      <c r="AN40" s="267"/>
      <c r="AO40" s="267"/>
    </row>
    <row r="41" spans="1:41" customFormat="1" ht="31.5" x14ac:dyDescent="0.25">
      <c r="A41" s="295" t="s">
        <v>400</v>
      </c>
      <c r="B41" s="292" t="s">
        <v>401</v>
      </c>
      <c r="C41" s="293">
        <v>83.465999999999994</v>
      </c>
      <c r="D41" s="293">
        <v>83.465999999999994</v>
      </c>
      <c r="E41" s="293">
        <f t="shared" si="0"/>
        <v>0</v>
      </c>
      <c r="F41" s="296" t="s">
        <v>386</v>
      </c>
      <c r="AJ41" s="267"/>
      <c r="AK41" s="267"/>
      <c r="AL41" s="267"/>
      <c r="AM41" s="267"/>
      <c r="AN41" s="267"/>
      <c r="AO41" s="267"/>
    </row>
    <row r="42" spans="1:41" customFormat="1" ht="63" x14ac:dyDescent="0.25">
      <c r="A42" s="295" t="s">
        <v>402</v>
      </c>
      <c r="B42" s="292" t="s">
        <v>403</v>
      </c>
      <c r="C42" s="293">
        <v>14.406000000000001</v>
      </c>
      <c r="D42" s="293">
        <v>14.406000000000001</v>
      </c>
      <c r="E42" s="293">
        <f t="shared" si="0"/>
        <v>0</v>
      </c>
      <c r="F42" s="292" t="s">
        <v>389</v>
      </c>
      <c r="AJ42" s="267"/>
      <c r="AK42" s="267"/>
      <c r="AL42" s="267"/>
      <c r="AM42" s="267"/>
      <c r="AN42" s="267"/>
      <c r="AO42" s="267"/>
    </row>
    <row r="43" spans="1:41" customFormat="1" ht="31.5" x14ac:dyDescent="0.25">
      <c r="A43" s="295" t="s">
        <v>404</v>
      </c>
      <c r="B43" s="292" t="s">
        <v>405</v>
      </c>
      <c r="C43" s="293">
        <v>47.48</v>
      </c>
      <c r="D43" s="293">
        <v>47.48</v>
      </c>
      <c r="E43" s="293">
        <f t="shared" si="0"/>
        <v>0</v>
      </c>
      <c r="F43" s="292" t="s">
        <v>389</v>
      </c>
      <c r="AJ43" s="267"/>
      <c r="AK43" s="267"/>
      <c r="AL43" s="267"/>
      <c r="AM43" s="267"/>
      <c r="AN43" s="267"/>
      <c r="AO43" s="267"/>
    </row>
    <row r="44" spans="1:41" customFormat="1" ht="63" x14ac:dyDescent="0.25">
      <c r="A44" s="295" t="s">
        <v>406</v>
      </c>
      <c r="B44" s="292" t="s">
        <v>407</v>
      </c>
      <c r="C44" s="293">
        <v>3.5670000000000002</v>
      </c>
      <c r="D44" s="293">
        <v>3.5670000000000002</v>
      </c>
      <c r="E44" s="293">
        <f t="shared" si="0"/>
        <v>0</v>
      </c>
      <c r="F44" s="292" t="s">
        <v>389</v>
      </c>
      <c r="AJ44" s="267"/>
      <c r="AK44" s="267"/>
      <c r="AL44" s="267"/>
      <c r="AM44" s="267"/>
      <c r="AN44" s="267"/>
      <c r="AO44" s="267"/>
    </row>
    <row r="45" spans="1:41" customFormat="1" ht="31.5" x14ac:dyDescent="0.25">
      <c r="A45" s="295" t="s">
        <v>408</v>
      </c>
      <c r="B45" s="292" t="s">
        <v>409</v>
      </c>
      <c r="C45" s="293">
        <v>266.54599999999999</v>
      </c>
      <c r="D45" s="293">
        <v>266.54599999999999</v>
      </c>
      <c r="E45" s="293">
        <f t="shared" si="0"/>
        <v>0</v>
      </c>
      <c r="F45" s="292" t="s">
        <v>389</v>
      </c>
      <c r="AJ45" s="267"/>
      <c r="AK45" s="267"/>
      <c r="AL45" s="267"/>
      <c r="AM45" s="267"/>
      <c r="AN45" s="267"/>
      <c r="AO45" s="267"/>
    </row>
    <row r="46" spans="1:41" customFormat="1" ht="26.25" customHeight="1" x14ac:dyDescent="0.25">
      <c r="A46" s="290" t="s">
        <v>410</v>
      </c>
      <c r="B46" s="290" t="s">
        <v>382</v>
      </c>
      <c r="C46" s="294">
        <f>C48+C49+C50+C51+C52+C53+C54+C55+C56+C57+C58+C59+C60+C61+C62+C63+C64+C65+C66+C67+C68+C69+C70+C71+C72+C73+C74</f>
        <v>7328.21</v>
      </c>
      <c r="D46" s="294">
        <f t="shared" ref="D46:E46" si="1">D48+D49+D50+D51+D52+D53+D54+D55+D56+D57+D58+D59+D60+D61+D62+D63+D64+D65+D66+D67+D68+D69+D70+D71+D72+D73+D74</f>
        <v>2707.7590000000005</v>
      </c>
      <c r="E46" s="294">
        <f t="shared" si="1"/>
        <v>4620.4510000000009</v>
      </c>
      <c r="F46" s="290"/>
      <c r="AJ46" s="267"/>
      <c r="AK46" s="267"/>
      <c r="AL46" s="267"/>
      <c r="AM46" s="267"/>
      <c r="AN46" s="267"/>
      <c r="AO46" s="267"/>
    </row>
    <row r="47" spans="1:41" customFormat="1" ht="15.75" x14ac:dyDescent="0.25">
      <c r="A47" s="292" t="s">
        <v>192</v>
      </c>
      <c r="B47" s="290" t="s">
        <v>382</v>
      </c>
      <c r="C47" s="294">
        <v>0</v>
      </c>
      <c r="D47" s="291">
        <v>0</v>
      </c>
      <c r="E47" s="291">
        <v>0</v>
      </c>
      <c r="F47" s="290" t="s">
        <v>382</v>
      </c>
      <c r="AJ47" s="267"/>
      <c r="AK47" s="267"/>
      <c r="AL47" s="267"/>
      <c r="AM47" s="267"/>
      <c r="AN47" s="267"/>
      <c r="AO47" s="267"/>
    </row>
    <row r="48" spans="1:41" customFormat="1" ht="31.5" x14ac:dyDescent="0.25">
      <c r="A48" s="295" t="s">
        <v>387</v>
      </c>
      <c r="B48" s="292" t="s">
        <v>388</v>
      </c>
      <c r="C48" s="293">
        <v>71.805999999999997</v>
      </c>
      <c r="D48" s="293">
        <v>48.472000000000001</v>
      </c>
      <c r="E48" s="293">
        <f t="shared" ref="E48:E74" si="2">C48-D48</f>
        <v>23.333999999999996</v>
      </c>
      <c r="F48" s="292" t="s">
        <v>389</v>
      </c>
      <c r="AJ48" s="267"/>
      <c r="AK48" s="267"/>
      <c r="AL48" s="267"/>
      <c r="AM48" s="267"/>
      <c r="AN48" s="267"/>
      <c r="AO48" s="267"/>
    </row>
    <row r="49" spans="1:41" customFormat="1" ht="31.5" x14ac:dyDescent="0.25">
      <c r="A49" s="295" t="s">
        <v>411</v>
      </c>
      <c r="B49" s="292" t="s">
        <v>412</v>
      </c>
      <c r="C49" s="293">
        <v>3256.32</v>
      </c>
      <c r="D49" s="293">
        <v>981.28899999999999</v>
      </c>
      <c r="E49" s="293">
        <f t="shared" si="2"/>
        <v>2275.0309999999999</v>
      </c>
      <c r="F49" s="292" t="s">
        <v>389</v>
      </c>
      <c r="AJ49" s="267"/>
      <c r="AK49" s="267"/>
      <c r="AL49" s="267"/>
      <c r="AM49" s="267"/>
      <c r="AN49" s="267"/>
      <c r="AO49" s="267"/>
    </row>
    <row r="50" spans="1:41" customFormat="1" ht="31.5" x14ac:dyDescent="0.25">
      <c r="A50" s="295" t="s">
        <v>413</v>
      </c>
      <c r="B50" s="292" t="s">
        <v>391</v>
      </c>
      <c r="C50" s="293">
        <v>321.74099999999999</v>
      </c>
      <c r="D50" s="293">
        <v>138.916</v>
      </c>
      <c r="E50" s="293">
        <f t="shared" si="2"/>
        <v>182.82499999999999</v>
      </c>
      <c r="F50" s="292" t="s">
        <v>389</v>
      </c>
      <c r="AJ50" s="267"/>
      <c r="AK50" s="267"/>
      <c r="AL50" s="267"/>
      <c r="AM50" s="267"/>
      <c r="AN50" s="267"/>
      <c r="AO50" s="267"/>
    </row>
    <row r="51" spans="1:41" customFormat="1" ht="31.5" x14ac:dyDescent="0.25">
      <c r="A51" s="295" t="s">
        <v>414</v>
      </c>
      <c r="B51" s="292" t="s">
        <v>415</v>
      </c>
      <c r="C51" s="293">
        <v>290.33300000000003</v>
      </c>
      <c r="D51" s="293">
        <v>148.07300000000001</v>
      </c>
      <c r="E51" s="293">
        <f t="shared" si="2"/>
        <v>142.26000000000002</v>
      </c>
      <c r="F51" s="292" t="s">
        <v>389</v>
      </c>
      <c r="AJ51" s="267"/>
      <c r="AK51" s="267"/>
      <c r="AL51" s="267"/>
      <c r="AM51" s="267"/>
      <c r="AN51" s="267"/>
      <c r="AO51" s="267"/>
    </row>
    <row r="52" spans="1:41" customFormat="1" ht="31.5" x14ac:dyDescent="0.25">
      <c r="A52" s="295" t="s">
        <v>416</v>
      </c>
      <c r="B52" s="292" t="s">
        <v>417</v>
      </c>
      <c r="C52" s="293">
        <v>457.88499999999999</v>
      </c>
      <c r="D52" s="293">
        <v>193.44</v>
      </c>
      <c r="E52" s="293">
        <f t="shared" si="2"/>
        <v>264.44499999999999</v>
      </c>
      <c r="F52" s="292" t="s">
        <v>389</v>
      </c>
      <c r="AJ52" s="267"/>
      <c r="AK52" s="267"/>
      <c r="AL52" s="267"/>
      <c r="AM52" s="267"/>
      <c r="AN52" s="267"/>
      <c r="AO52" s="267"/>
    </row>
    <row r="53" spans="1:41" customFormat="1" ht="31.5" x14ac:dyDescent="0.25">
      <c r="A53" s="295" t="s">
        <v>418</v>
      </c>
      <c r="B53" s="292" t="s">
        <v>419</v>
      </c>
      <c r="C53" s="293">
        <v>451.375</v>
      </c>
      <c r="D53" s="293">
        <v>168.35400000000001</v>
      </c>
      <c r="E53" s="293">
        <f t="shared" si="2"/>
        <v>283.02099999999996</v>
      </c>
      <c r="F53" s="292" t="s">
        <v>389</v>
      </c>
      <c r="AJ53" s="267"/>
      <c r="AK53" s="267"/>
      <c r="AL53" s="267"/>
      <c r="AM53" s="267"/>
      <c r="AN53" s="267"/>
      <c r="AO53" s="267"/>
    </row>
    <row r="54" spans="1:41" customFormat="1" ht="31.5" x14ac:dyDescent="0.25">
      <c r="A54" s="295" t="s">
        <v>420</v>
      </c>
      <c r="B54" s="292" t="s">
        <v>393</v>
      </c>
      <c r="C54" s="293">
        <v>338.52699999999999</v>
      </c>
      <c r="D54" s="293">
        <v>153.364</v>
      </c>
      <c r="E54" s="293">
        <f t="shared" si="2"/>
        <v>185.16299999999998</v>
      </c>
      <c r="F54" s="292" t="s">
        <v>389</v>
      </c>
      <c r="AJ54" s="267"/>
      <c r="AK54" s="267"/>
      <c r="AL54" s="267"/>
      <c r="AM54" s="267"/>
      <c r="AN54" s="267"/>
      <c r="AO54" s="267"/>
    </row>
    <row r="55" spans="1:41" customFormat="1" ht="31.5" x14ac:dyDescent="0.25">
      <c r="A55" s="295" t="s">
        <v>421</v>
      </c>
      <c r="B55" s="292" t="s">
        <v>422</v>
      </c>
      <c r="C55" s="293">
        <v>45.575000000000003</v>
      </c>
      <c r="D55" s="293">
        <v>42.966999999999999</v>
      </c>
      <c r="E55" s="293">
        <f t="shared" si="2"/>
        <v>2.6080000000000041</v>
      </c>
      <c r="F55" s="292" t="s">
        <v>389</v>
      </c>
      <c r="AJ55" s="267"/>
      <c r="AK55" s="267"/>
      <c r="AL55" s="267"/>
      <c r="AM55" s="267"/>
      <c r="AN55" s="267"/>
      <c r="AO55" s="267"/>
    </row>
    <row r="56" spans="1:41" customFormat="1" ht="31.5" x14ac:dyDescent="0.25">
      <c r="A56" s="295" t="s">
        <v>423</v>
      </c>
      <c r="B56" s="292" t="s">
        <v>424</v>
      </c>
      <c r="C56" s="293">
        <v>266.06299999999999</v>
      </c>
      <c r="D56" s="293">
        <v>144.56700000000001</v>
      </c>
      <c r="E56" s="293">
        <f t="shared" si="2"/>
        <v>121.49599999999998</v>
      </c>
      <c r="F56" s="292" t="s">
        <v>389</v>
      </c>
      <c r="AJ56" s="267"/>
      <c r="AK56" s="267"/>
      <c r="AL56" s="267"/>
      <c r="AM56" s="267"/>
      <c r="AN56" s="267"/>
      <c r="AO56" s="267"/>
    </row>
    <row r="57" spans="1:41" customFormat="1" ht="47.25" x14ac:dyDescent="0.25">
      <c r="A57" s="295" t="s">
        <v>425</v>
      </c>
      <c r="B57" s="292" t="s">
        <v>395</v>
      </c>
      <c r="C57" s="293">
        <v>82.817999999999998</v>
      </c>
      <c r="D57" s="293">
        <v>38.746000000000002</v>
      </c>
      <c r="E57" s="293">
        <f t="shared" si="2"/>
        <v>44.071999999999996</v>
      </c>
      <c r="F57" s="292" t="s">
        <v>389</v>
      </c>
      <c r="AJ57" s="267"/>
      <c r="AK57" s="267"/>
      <c r="AL57" s="267"/>
      <c r="AM57" s="267"/>
      <c r="AN57" s="267"/>
      <c r="AO57" s="267"/>
    </row>
    <row r="58" spans="1:41" customFormat="1" ht="31.5" x14ac:dyDescent="0.25">
      <c r="A58" s="295" t="s">
        <v>426</v>
      </c>
      <c r="B58" s="292" t="s">
        <v>427</v>
      </c>
      <c r="C58" s="293">
        <v>245.828</v>
      </c>
      <c r="D58" s="293">
        <v>97.85</v>
      </c>
      <c r="E58" s="293">
        <f t="shared" si="2"/>
        <v>147.97800000000001</v>
      </c>
      <c r="F58" s="292" t="s">
        <v>389</v>
      </c>
      <c r="AJ58" s="267"/>
      <c r="AK58" s="267"/>
      <c r="AL58" s="267"/>
      <c r="AM58" s="267"/>
      <c r="AN58" s="267"/>
      <c r="AO58" s="267"/>
    </row>
    <row r="59" spans="1:41" customFormat="1" ht="31.5" x14ac:dyDescent="0.25">
      <c r="A59" s="295" t="s">
        <v>428</v>
      </c>
      <c r="B59" s="292" t="s">
        <v>429</v>
      </c>
      <c r="C59" s="293">
        <v>275.74400000000003</v>
      </c>
      <c r="D59" s="293">
        <v>140.72999999999999</v>
      </c>
      <c r="E59" s="293">
        <f t="shared" si="2"/>
        <v>135.01400000000004</v>
      </c>
      <c r="F59" s="292" t="s">
        <v>389</v>
      </c>
      <c r="AJ59" s="267"/>
      <c r="AK59" s="267"/>
      <c r="AL59" s="267"/>
      <c r="AM59" s="267"/>
      <c r="AN59" s="267"/>
      <c r="AO59" s="267"/>
    </row>
    <row r="60" spans="1:41" customFormat="1" ht="31.5" x14ac:dyDescent="0.25">
      <c r="A60" s="295" t="s">
        <v>430</v>
      </c>
      <c r="B60" s="292" t="s">
        <v>431</v>
      </c>
      <c r="C60" s="293">
        <v>11.579000000000001</v>
      </c>
      <c r="D60" s="293">
        <v>7.8920000000000003</v>
      </c>
      <c r="E60" s="293">
        <f t="shared" si="2"/>
        <v>3.6870000000000003</v>
      </c>
      <c r="F60" s="292" t="s">
        <v>389</v>
      </c>
      <c r="AJ60" s="267"/>
      <c r="AK60" s="267"/>
      <c r="AL60" s="267"/>
      <c r="AM60" s="267"/>
      <c r="AN60" s="267"/>
      <c r="AO60" s="267"/>
    </row>
    <row r="61" spans="1:41" customFormat="1" ht="47.25" x14ac:dyDescent="0.25">
      <c r="A61" s="295" t="s">
        <v>432</v>
      </c>
      <c r="B61" s="292" t="s">
        <v>397</v>
      </c>
      <c r="C61" s="293">
        <v>21.978000000000002</v>
      </c>
      <c r="D61" s="293">
        <v>18.036000000000001</v>
      </c>
      <c r="E61" s="293">
        <f t="shared" si="2"/>
        <v>3.9420000000000002</v>
      </c>
      <c r="F61" s="292" t="s">
        <v>389</v>
      </c>
      <c r="AJ61" s="267"/>
      <c r="AK61" s="267"/>
      <c r="AL61" s="267"/>
      <c r="AM61" s="267"/>
      <c r="AN61" s="267"/>
      <c r="AO61" s="267"/>
    </row>
    <row r="62" spans="1:41" customFormat="1" ht="31.5" x14ac:dyDescent="0.25">
      <c r="A62" s="295" t="s">
        <v>433</v>
      </c>
      <c r="B62" s="292" t="s">
        <v>434</v>
      </c>
      <c r="C62" s="293">
        <v>16.8</v>
      </c>
      <c r="D62" s="293">
        <v>16.8</v>
      </c>
      <c r="E62" s="293">
        <f t="shared" si="2"/>
        <v>0</v>
      </c>
      <c r="F62" s="292" t="s">
        <v>389</v>
      </c>
      <c r="AJ62" s="267"/>
      <c r="AK62" s="267"/>
      <c r="AL62" s="267"/>
      <c r="AM62" s="267"/>
      <c r="AN62" s="267"/>
      <c r="AO62" s="267"/>
    </row>
    <row r="63" spans="1:41" customFormat="1" ht="31.5" x14ac:dyDescent="0.25">
      <c r="A63" s="295" t="s">
        <v>435</v>
      </c>
      <c r="B63" s="292" t="s">
        <v>436</v>
      </c>
      <c r="C63" s="293">
        <v>55.484999999999999</v>
      </c>
      <c r="D63" s="293">
        <v>34.816000000000003</v>
      </c>
      <c r="E63" s="293">
        <f t="shared" si="2"/>
        <v>20.668999999999997</v>
      </c>
      <c r="F63" s="292" t="s">
        <v>389</v>
      </c>
      <c r="AJ63" s="267"/>
      <c r="AK63" s="267"/>
      <c r="AL63" s="267"/>
      <c r="AM63" s="267"/>
      <c r="AN63" s="267"/>
      <c r="AO63" s="267"/>
    </row>
    <row r="64" spans="1:41" customFormat="1" ht="31.5" x14ac:dyDescent="0.25">
      <c r="A64" s="295" t="s">
        <v>437</v>
      </c>
      <c r="B64" s="292" t="s">
        <v>438</v>
      </c>
      <c r="C64" s="293">
        <v>39.771000000000001</v>
      </c>
      <c r="D64" s="293">
        <v>11.343</v>
      </c>
      <c r="E64" s="293">
        <f t="shared" si="2"/>
        <v>28.428000000000001</v>
      </c>
      <c r="F64" s="292" t="s">
        <v>389</v>
      </c>
      <c r="AJ64" s="267"/>
      <c r="AK64" s="267"/>
      <c r="AL64" s="267"/>
      <c r="AM64" s="267"/>
      <c r="AN64" s="267"/>
      <c r="AO64" s="267"/>
    </row>
    <row r="65" spans="1:41" customFormat="1" ht="31.5" x14ac:dyDescent="0.25">
      <c r="A65" s="295" t="s">
        <v>439</v>
      </c>
      <c r="B65" s="292" t="s">
        <v>440</v>
      </c>
      <c r="C65" s="293">
        <v>28.271999999999998</v>
      </c>
      <c r="D65" s="293">
        <v>23.597000000000001</v>
      </c>
      <c r="E65" s="293">
        <f t="shared" si="2"/>
        <v>4.6749999999999972</v>
      </c>
      <c r="F65" s="292" t="s">
        <v>389</v>
      </c>
      <c r="AJ65" s="267"/>
      <c r="AK65" s="267"/>
      <c r="AL65" s="267"/>
      <c r="AM65" s="267"/>
      <c r="AN65" s="267"/>
      <c r="AO65" s="267"/>
    </row>
    <row r="66" spans="1:41" customFormat="1" ht="31.5" x14ac:dyDescent="0.25">
      <c r="A66" s="295" t="s">
        <v>441</v>
      </c>
      <c r="B66" s="292" t="s">
        <v>442</v>
      </c>
      <c r="C66" s="293">
        <v>27.048999999999999</v>
      </c>
      <c r="D66" s="293">
        <v>15.116</v>
      </c>
      <c r="E66" s="293">
        <f t="shared" si="2"/>
        <v>11.933</v>
      </c>
      <c r="F66" s="292" t="s">
        <v>389</v>
      </c>
      <c r="AJ66" s="267"/>
      <c r="AK66" s="267"/>
      <c r="AL66" s="267"/>
      <c r="AM66" s="267"/>
      <c r="AN66" s="267"/>
      <c r="AO66" s="267"/>
    </row>
    <row r="67" spans="1:41" customFormat="1" ht="63" x14ac:dyDescent="0.25">
      <c r="A67" s="295" t="s">
        <v>443</v>
      </c>
      <c r="B67" s="292" t="s">
        <v>403</v>
      </c>
      <c r="C67" s="293">
        <v>6.0970000000000004</v>
      </c>
      <c r="D67" s="293">
        <v>6.0970000000000004</v>
      </c>
      <c r="E67" s="293">
        <f t="shared" si="2"/>
        <v>0</v>
      </c>
      <c r="F67" s="292" t="s">
        <v>389</v>
      </c>
      <c r="AJ67" s="267"/>
      <c r="AK67" s="267"/>
      <c r="AL67" s="267"/>
      <c r="AM67" s="267"/>
      <c r="AN67" s="267"/>
      <c r="AO67" s="267"/>
    </row>
    <row r="68" spans="1:41" customFormat="1" ht="31.5" x14ac:dyDescent="0.25">
      <c r="A68" s="295" t="s">
        <v>444</v>
      </c>
      <c r="B68" s="292" t="s">
        <v>445</v>
      </c>
      <c r="C68" s="293">
        <v>14.637</v>
      </c>
      <c r="D68" s="293">
        <v>14.637</v>
      </c>
      <c r="E68" s="293">
        <f t="shared" si="2"/>
        <v>0</v>
      </c>
      <c r="F68" s="292" t="s">
        <v>389</v>
      </c>
      <c r="AJ68" s="267"/>
      <c r="AK68" s="267"/>
      <c r="AL68" s="267"/>
      <c r="AM68" s="267"/>
      <c r="AN68" s="267"/>
      <c r="AO68" s="267"/>
    </row>
    <row r="69" spans="1:41" customFormat="1" ht="31.5" x14ac:dyDescent="0.25">
      <c r="A69" s="295" t="s">
        <v>446</v>
      </c>
      <c r="B69" s="292" t="s">
        <v>405</v>
      </c>
      <c r="C69" s="293">
        <v>40.606000000000002</v>
      </c>
      <c r="D69" s="293">
        <v>31.398</v>
      </c>
      <c r="E69" s="293">
        <f t="shared" si="2"/>
        <v>9.208000000000002</v>
      </c>
      <c r="F69" s="292" t="s">
        <v>389</v>
      </c>
      <c r="AJ69" s="267"/>
      <c r="AK69" s="267"/>
      <c r="AL69" s="267"/>
      <c r="AM69" s="267"/>
      <c r="AN69" s="267"/>
      <c r="AO69" s="267"/>
    </row>
    <row r="70" spans="1:41" customFormat="1" ht="31.5" x14ac:dyDescent="0.25">
      <c r="A70" s="295" t="s">
        <v>447</v>
      </c>
      <c r="B70" s="292" t="s">
        <v>448</v>
      </c>
      <c r="C70" s="293">
        <v>6.1669999999999998</v>
      </c>
      <c r="D70" s="293">
        <v>6.1669999999999998</v>
      </c>
      <c r="E70" s="293">
        <f t="shared" si="2"/>
        <v>0</v>
      </c>
      <c r="F70" s="292" t="s">
        <v>389</v>
      </c>
      <c r="AJ70" s="267"/>
      <c r="AK70" s="267"/>
      <c r="AL70" s="267"/>
      <c r="AM70" s="267"/>
      <c r="AN70" s="267"/>
      <c r="AO70" s="267"/>
    </row>
    <row r="71" spans="1:41" customFormat="1" ht="31.5" x14ac:dyDescent="0.25">
      <c r="A71" s="295" t="s">
        <v>449</v>
      </c>
      <c r="B71" s="292" t="s">
        <v>450</v>
      </c>
      <c r="C71" s="293">
        <v>25.113</v>
      </c>
      <c r="D71" s="293">
        <v>24.53</v>
      </c>
      <c r="E71" s="293">
        <f t="shared" si="2"/>
        <v>0.58299999999999841</v>
      </c>
      <c r="F71" s="292" t="s">
        <v>389</v>
      </c>
      <c r="AJ71" s="267"/>
      <c r="AK71" s="267"/>
      <c r="AL71" s="267"/>
      <c r="AM71" s="267"/>
      <c r="AN71" s="267"/>
      <c r="AO71" s="267"/>
    </row>
    <row r="72" spans="1:41" customFormat="1" ht="63" x14ac:dyDescent="0.25">
      <c r="A72" s="295" t="s">
        <v>451</v>
      </c>
      <c r="B72" s="292" t="s">
        <v>407</v>
      </c>
      <c r="C72" s="293">
        <v>36.128999999999998</v>
      </c>
      <c r="D72" s="293">
        <v>36.128999999999998</v>
      </c>
      <c r="E72" s="293">
        <f t="shared" si="2"/>
        <v>0</v>
      </c>
      <c r="F72" s="292" t="s">
        <v>389</v>
      </c>
      <c r="AJ72" s="267"/>
      <c r="AK72" s="267"/>
      <c r="AL72" s="267"/>
      <c r="AM72" s="267"/>
      <c r="AN72" s="267"/>
      <c r="AO72" s="267"/>
    </row>
    <row r="73" spans="1:41" customFormat="1" ht="31.5" x14ac:dyDescent="0.25">
      <c r="A73" s="295" t="s">
        <v>452</v>
      </c>
      <c r="B73" s="292" t="s">
        <v>409</v>
      </c>
      <c r="C73" s="293">
        <v>18.417000000000002</v>
      </c>
      <c r="D73" s="293">
        <v>18.417000000000002</v>
      </c>
      <c r="E73" s="293">
        <f t="shared" si="2"/>
        <v>0</v>
      </c>
      <c r="F73" s="292" t="s">
        <v>389</v>
      </c>
      <c r="AJ73" s="267"/>
      <c r="AK73" s="267"/>
      <c r="AL73" s="267"/>
      <c r="AM73" s="267"/>
      <c r="AN73" s="267"/>
      <c r="AO73" s="267"/>
    </row>
    <row r="74" spans="1:41" customFormat="1" ht="31.5" x14ac:dyDescent="0.25">
      <c r="A74" s="295" t="s">
        <v>501</v>
      </c>
      <c r="B74" s="297" t="s">
        <v>388</v>
      </c>
      <c r="C74" s="293">
        <v>876.09500000000003</v>
      </c>
      <c r="D74" s="293">
        <v>146.01599999999999</v>
      </c>
      <c r="E74" s="293">
        <f t="shared" si="2"/>
        <v>730.07900000000006</v>
      </c>
      <c r="F74" s="292" t="s">
        <v>389</v>
      </c>
      <c r="AJ74" s="267"/>
      <c r="AK74" s="267"/>
      <c r="AL74" s="267"/>
      <c r="AM74" s="267"/>
      <c r="AN74" s="267"/>
      <c r="AO74" s="267"/>
    </row>
    <row r="75" spans="1:41" customFormat="1" ht="15.75" x14ac:dyDescent="0.25">
      <c r="A75" s="295"/>
      <c r="B75" s="292"/>
      <c r="C75" s="293"/>
      <c r="D75" s="293"/>
      <c r="E75" s="293"/>
      <c r="F75" s="292"/>
      <c r="AJ75" s="267"/>
      <c r="AK75" s="267"/>
      <c r="AL75" s="267"/>
      <c r="AM75" s="267"/>
      <c r="AN75" s="267"/>
      <c r="AO75" s="267"/>
    </row>
    <row r="76" spans="1:41" customFormat="1" ht="15.75" x14ac:dyDescent="0.25">
      <c r="A76" s="295"/>
      <c r="B76" s="292"/>
      <c r="C76" s="293"/>
      <c r="D76" s="293"/>
      <c r="E76" s="293"/>
      <c r="F76" s="292"/>
      <c r="AJ76" s="267"/>
      <c r="AK76" s="267"/>
      <c r="AL76" s="267"/>
      <c r="AM76" s="267"/>
      <c r="AN76" s="267"/>
      <c r="AO76" s="267"/>
    </row>
    <row r="77" spans="1:41" customFormat="1" ht="15.75" x14ac:dyDescent="0.25">
      <c r="A77" s="290" t="s">
        <v>453</v>
      </c>
      <c r="B77" s="290" t="s">
        <v>382</v>
      </c>
      <c r="C77" s="294">
        <f>SUM(C78:C97)</f>
        <v>12002.794000000002</v>
      </c>
      <c r="D77" s="294">
        <f t="shared" ref="D77:E77" si="3">SUM(D78:D97)</f>
        <v>2804.4423999999995</v>
      </c>
      <c r="E77" s="294">
        <f t="shared" si="3"/>
        <v>9198.3516</v>
      </c>
      <c r="F77" s="290"/>
      <c r="AJ77" s="267"/>
      <c r="AK77" s="267"/>
      <c r="AL77" s="267"/>
      <c r="AM77" s="267"/>
      <c r="AN77" s="267"/>
      <c r="AO77" s="267"/>
    </row>
    <row r="78" spans="1:41" customFormat="1" ht="15.75" x14ac:dyDescent="0.25">
      <c r="A78" s="292" t="s">
        <v>192</v>
      </c>
      <c r="B78" s="290" t="s">
        <v>382</v>
      </c>
      <c r="C78" s="291">
        <v>0</v>
      </c>
      <c r="D78" s="291">
        <v>0</v>
      </c>
      <c r="E78" s="291">
        <v>0</v>
      </c>
      <c r="F78" s="290" t="s">
        <v>382</v>
      </c>
      <c r="AJ78" s="267"/>
      <c r="AK78" s="267"/>
      <c r="AL78" s="267"/>
      <c r="AM78" s="267"/>
      <c r="AN78" s="267"/>
      <c r="AO78" s="267"/>
    </row>
    <row r="79" spans="1:41" customFormat="1" ht="31.5" x14ac:dyDescent="0.25">
      <c r="A79" s="295" t="s">
        <v>454</v>
      </c>
      <c r="B79" s="297" t="s">
        <v>388</v>
      </c>
      <c r="C79" s="298">
        <v>690</v>
      </c>
      <c r="D79" s="298">
        <v>690</v>
      </c>
      <c r="E79" s="298">
        <f t="shared" ref="E79:E97" si="4">C79-D79</f>
        <v>0</v>
      </c>
      <c r="F79" s="297" t="s">
        <v>386</v>
      </c>
      <c r="AJ79" s="267"/>
      <c r="AK79" s="267"/>
      <c r="AL79" s="267"/>
      <c r="AM79" s="267"/>
      <c r="AN79" s="267"/>
      <c r="AO79" s="267"/>
    </row>
    <row r="80" spans="1:41" customFormat="1" ht="31.5" x14ac:dyDescent="0.25">
      <c r="A80" s="295" t="s">
        <v>455</v>
      </c>
      <c r="B80" s="297" t="s">
        <v>388</v>
      </c>
      <c r="C80" s="298">
        <v>38.563000000000002</v>
      </c>
      <c r="D80" s="298">
        <v>38.563000000000002</v>
      </c>
      <c r="E80" s="298">
        <f t="shared" si="4"/>
        <v>0</v>
      </c>
      <c r="F80" s="297" t="s">
        <v>389</v>
      </c>
      <c r="AJ80" s="267"/>
      <c r="AK80" s="267"/>
      <c r="AL80" s="267"/>
      <c r="AM80" s="267"/>
      <c r="AN80" s="267"/>
      <c r="AO80" s="267"/>
    </row>
    <row r="81" spans="1:41" customFormat="1" ht="31.5" x14ac:dyDescent="0.25">
      <c r="A81" s="295" t="s">
        <v>456</v>
      </c>
      <c r="B81" s="297" t="s">
        <v>388</v>
      </c>
      <c r="C81" s="298">
        <v>94.825000000000003</v>
      </c>
      <c r="D81" s="298">
        <v>94.825000000000003</v>
      </c>
      <c r="E81" s="298">
        <f t="shared" si="4"/>
        <v>0</v>
      </c>
      <c r="F81" s="297" t="s">
        <v>389</v>
      </c>
      <c r="AJ81" s="267"/>
      <c r="AK81" s="267"/>
      <c r="AL81" s="267"/>
      <c r="AM81" s="267"/>
      <c r="AN81" s="267"/>
      <c r="AO81" s="267"/>
    </row>
    <row r="82" spans="1:41" customFormat="1" ht="31.5" x14ac:dyDescent="0.25">
      <c r="A82" s="295" t="s">
        <v>456</v>
      </c>
      <c r="B82" s="297" t="s">
        <v>388</v>
      </c>
      <c r="C82" s="298">
        <v>91.625</v>
      </c>
      <c r="D82" s="298">
        <v>91.625</v>
      </c>
      <c r="E82" s="298">
        <f t="shared" si="4"/>
        <v>0</v>
      </c>
      <c r="F82" s="297" t="s">
        <v>389</v>
      </c>
      <c r="AJ82" s="267"/>
      <c r="AK82" s="267"/>
      <c r="AL82" s="267"/>
      <c r="AM82" s="267"/>
      <c r="AN82" s="267"/>
      <c r="AO82" s="267"/>
    </row>
    <row r="83" spans="1:41" customFormat="1" ht="31.5" x14ac:dyDescent="0.25">
      <c r="A83" s="295" t="s">
        <v>457</v>
      </c>
      <c r="B83" s="297" t="s">
        <v>388</v>
      </c>
      <c r="C83" s="298">
        <v>499.3</v>
      </c>
      <c r="D83" s="298">
        <v>309.09140000000002</v>
      </c>
      <c r="E83" s="298">
        <f t="shared" si="4"/>
        <v>190.20859999999999</v>
      </c>
      <c r="F83" s="297" t="s">
        <v>389</v>
      </c>
      <c r="AJ83" s="267"/>
      <c r="AK83" s="267"/>
      <c r="AL83" s="267"/>
      <c r="AM83" s="267"/>
      <c r="AN83" s="267"/>
      <c r="AO83" s="267"/>
    </row>
    <row r="84" spans="1:41" customFormat="1" ht="22.5" customHeight="1" x14ac:dyDescent="0.25">
      <c r="A84" s="295" t="s">
        <v>458</v>
      </c>
      <c r="B84" s="297" t="s">
        <v>388</v>
      </c>
      <c r="C84" s="298">
        <v>1113.269</v>
      </c>
      <c r="D84" s="298">
        <v>344.58300000000003</v>
      </c>
      <c r="E84" s="298">
        <f t="shared" si="4"/>
        <v>768.68599999999992</v>
      </c>
      <c r="F84" s="297" t="s">
        <v>389</v>
      </c>
      <c r="AJ84" s="267"/>
      <c r="AK84" s="267"/>
      <c r="AL84" s="267"/>
      <c r="AM84" s="267"/>
      <c r="AN84" s="267"/>
      <c r="AO84" s="267"/>
    </row>
    <row r="85" spans="1:41" customFormat="1" ht="78" customHeight="1" x14ac:dyDescent="0.25">
      <c r="A85" s="295" t="s">
        <v>502</v>
      </c>
      <c r="B85" s="297" t="s">
        <v>388</v>
      </c>
      <c r="C85" s="298">
        <v>8597.6939999999995</v>
      </c>
      <c r="D85" s="298">
        <v>358.23700000000002</v>
      </c>
      <c r="E85" s="298">
        <f t="shared" si="4"/>
        <v>8239.4570000000003</v>
      </c>
      <c r="F85" s="297" t="s">
        <v>389</v>
      </c>
      <c r="AJ85" s="267"/>
      <c r="AK85" s="267"/>
      <c r="AL85" s="267"/>
      <c r="AM85" s="267"/>
      <c r="AN85" s="267"/>
      <c r="AO85" s="267"/>
    </row>
    <row r="86" spans="1:41" customFormat="1" ht="31.5" x14ac:dyDescent="0.25">
      <c r="A86" s="295" t="s">
        <v>459</v>
      </c>
      <c r="B86" s="297" t="s">
        <v>391</v>
      </c>
      <c r="C86" s="298">
        <v>91.625</v>
      </c>
      <c r="D86" s="298">
        <v>91.625</v>
      </c>
      <c r="E86" s="298">
        <f t="shared" si="4"/>
        <v>0</v>
      </c>
      <c r="F86" s="297" t="s">
        <v>389</v>
      </c>
      <c r="AJ86" s="267"/>
      <c r="AK86" s="267"/>
      <c r="AL86" s="267"/>
      <c r="AM86" s="267"/>
      <c r="AN86" s="267"/>
      <c r="AO86" s="267"/>
    </row>
    <row r="87" spans="1:41" customFormat="1" ht="31.5" x14ac:dyDescent="0.25">
      <c r="A87" s="295" t="s">
        <v>460</v>
      </c>
      <c r="B87" s="297" t="s">
        <v>415</v>
      </c>
      <c r="C87" s="298">
        <v>17.327000000000002</v>
      </c>
      <c r="D87" s="298">
        <v>17.327000000000002</v>
      </c>
      <c r="E87" s="298">
        <f t="shared" si="4"/>
        <v>0</v>
      </c>
      <c r="F87" s="297" t="s">
        <v>389</v>
      </c>
      <c r="AJ87" s="267"/>
      <c r="AK87" s="267"/>
      <c r="AL87" s="267"/>
      <c r="AM87" s="267"/>
      <c r="AN87" s="267"/>
      <c r="AO87" s="267"/>
    </row>
    <row r="88" spans="1:41" customFormat="1" ht="31.5" x14ac:dyDescent="0.25">
      <c r="A88" s="295" t="s">
        <v>461</v>
      </c>
      <c r="B88" s="297" t="s">
        <v>417</v>
      </c>
      <c r="C88" s="298">
        <v>91.625</v>
      </c>
      <c r="D88" s="298">
        <v>91.625</v>
      </c>
      <c r="E88" s="298">
        <f t="shared" si="4"/>
        <v>0</v>
      </c>
      <c r="F88" s="297" t="s">
        <v>389</v>
      </c>
      <c r="AJ88" s="267"/>
      <c r="AK88" s="267"/>
      <c r="AL88" s="267"/>
      <c r="AM88" s="267"/>
      <c r="AN88" s="267"/>
      <c r="AO88" s="267"/>
    </row>
    <row r="89" spans="1:41" customFormat="1" ht="31.5" x14ac:dyDescent="0.25">
      <c r="A89" s="295" t="s">
        <v>462</v>
      </c>
      <c r="B89" s="297" t="s">
        <v>419</v>
      </c>
      <c r="C89" s="298">
        <v>139.86099999999999</v>
      </c>
      <c r="D89" s="298">
        <v>139.86099999999999</v>
      </c>
      <c r="E89" s="298">
        <f t="shared" si="4"/>
        <v>0</v>
      </c>
      <c r="F89" s="297" t="s">
        <v>389</v>
      </c>
      <c r="AJ89" s="267"/>
      <c r="AK89" s="267"/>
      <c r="AL89" s="267"/>
      <c r="AM89" s="267"/>
      <c r="AN89" s="267"/>
      <c r="AO89" s="267"/>
    </row>
    <row r="90" spans="1:41" customFormat="1" ht="63" x14ac:dyDescent="0.25">
      <c r="A90" s="295" t="s">
        <v>463</v>
      </c>
      <c r="B90" s="297" t="s">
        <v>464</v>
      </c>
      <c r="C90" s="298">
        <v>103.23</v>
      </c>
      <c r="D90" s="298">
        <v>103.23</v>
      </c>
      <c r="E90" s="298">
        <f t="shared" si="4"/>
        <v>0</v>
      </c>
      <c r="F90" s="297" t="s">
        <v>386</v>
      </c>
      <c r="AJ90" s="267"/>
      <c r="AK90" s="267"/>
      <c r="AL90" s="267"/>
      <c r="AM90" s="267"/>
      <c r="AN90" s="267"/>
      <c r="AO90" s="267"/>
    </row>
    <row r="91" spans="1:41" customFormat="1" ht="94.5" x14ac:dyDescent="0.25">
      <c r="A91" s="295" t="s">
        <v>465</v>
      </c>
      <c r="B91" s="297" t="s">
        <v>466</v>
      </c>
      <c r="C91" s="298">
        <v>91.625</v>
      </c>
      <c r="D91" s="298">
        <v>91.625</v>
      </c>
      <c r="E91" s="298">
        <f t="shared" si="4"/>
        <v>0</v>
      </c>
      <c r="F91" s="297" t="s">
        <v>386</v>
      </c>
      <c r="AJ91" s="267"/>
      <c r="AK91" s="267"/>
      <c r="AL91" s="267"/>
      <c r="AM91" s="267"/>
      <c r="AN91" s="267"/>
      <c r="AO91" s="267"/>
    </row>
    <row r="92" spans="1:41" customFormat="1" ht="31.5" x14ac:dyDescent="0.25">
      <c r="A92" s="295" t="s">
        <v>467</v>
      </c>
      <c r="B92" s="297" t="s">
        <v>424</v>
      </c>
      <c r="C92" s="298">
        <v>143.11099999999999</v>
      </c>
      <c r="D92" s="298">
        <v>143.11099999999999</v>
      </c>
      <c r="E92" s="298">
        <f t="shared" si="4"/>
        <v>0</v>
      </c>
      <c r="F92" s="297" t="s">
        <v>389</v>
      </c>
      <c r="AJ92" s="267"/>
      <c r="AK92" s="267"/>
      <c r="AL92" s="267"/>
      <c r="AM92" s="267"/>
      <c r="AN92" s="267"/>
      <c r="AO92" s="267"/>
    </row>
    <row r="93" spans="1:41" customFormat="1" ht="31.5" x14ac:dyDescent="0.25">
      <c r="A93" s="295" t="s">
        <v>468</v>
      </c>
      <c r="B93" s="297" t="s">
        <v>427</v>
      </c>
      <c r="C93" s="298">
        <v>180</v>
      </c>
      <c r="D93" s="298">
        <v>180</v>
      </c>
      <c r="E93" s="298">
        <f t="shared" si="4"/>
        <v>0</v>
      </c>
      <c r="F93" s="297" t="s">
        <v>389</v>
      </c>
      <c r="AJ93" s="267"/>
      <c r="AK93" s="267"/>
      <c r="AL93" s="267"/>
      <c r="AM93" s="267"/>
      <c r="AN93" s="267"/>
      <c r="AO93" s="267"/>
    </row>
    <row r="94" spans="1:41" customFormat="1" ht="31.5" x14ac:dyDescent="0.25">
      <c r="A94" s="295" t="s">
        <v>469</v>
      </c>
      <c r="B94" s="297" t="s">
        <v>429</v>
      </c>
      <c r="C94" s="298">
        <v>4.78</v>
      </c>
      <c r="D94" s="298">
        <v>4.78</v>
      </c>
      <c r="E94" s="298">
        <f t="shared" si="4"/>
        <v>0</v>
      </c>
      <c r="F94" s="297" t="s">
        <v>389</v>
      </c>
      <c r="AJ94" s="267"/>
      <c r="AK94" s="267"/>
      <c r="AL94" s="267"/>
      <c r="AM94" s="267"/>
      <c r="AN94" s="267"/>
      <c r="AO94" s="267"/>
    </row>
    <row r="95" spans="1:41" customFormat="1" ht="31.5" x14ac:dyDescent="0.25">
      <c r="A95" s="295" t="s">
        <v>470</v>
      </c>
      <c r="B95" s="297" t="s">
        <v>405</v>
      </c>
      <c r="C95" s="298">
        <v>4.7779999999999996</v>
      </c>
      <c r="D95" s="298">
        <v>4.7779999999999996</v>
      </c>
      <c r="E95" s="298">
        <f t="shared" si="4"/>
        <v>0</v>
      </c>
      <c r="F95" s="297" t="s">
        <v>389</v>
      </c>
      <c r="AJ95" s="267"/>
      <c r="AK95" s="267"/>
      <c r="AL95" s="267"/>
      <c r="AM95" s="267"/>
      <c r="AN95" s="267"/>
      <c r="AO95" s="267"/>
    </row>
    <row r="96" spans="1:41" customFormat="1" ht="31.5" x14ac:dyDescent="0.25">
      <c r="A96" s="295" t="s">
        <v>471</v>
      </c>
      <c r="B96" s="297" t="s">
        <v>450</v>
      </c>
      <c r="C96" s="298">
        <v>4.7779999999999996</v>
      </c>
      <c r="D96" s="298">
        <v>4.7779999999999996</v>
      </c>
      <c r="E96" s="298">
        <f t="shared" si="4"/>
        <v>0</v>
      </c>
      <c r="F96" s="297" t="s">
        <v>389</v>
      </c>
      <c r="AJ96" s="267"/>
      <c r="AK96" s="267"/>
      <c r="AL96" s="267"/>
      <c r="AM96" s="267"/>
      <c r="AN96" s="267"/>
      <c r="AO96" s="267"/>
    </row>
    <row r="97" spans="1:41" customFormat="1" ht="31.5" x14ac:dyDescent="0.25">
      <c r="A97" s="295" t="s">
        <v>472</v>
      </c>
      <c r="B97" s="297" t="s">
        <v>388</v>
      </c>
      <c r="C97" s="298">
        <v>4.7779999999999996</v>
      </c>
      <c r="D97" s="298">
        <v>4.7779999999999996</v>
      </c>
      <c r="E97" s="298">
        <f t="shared" si="4"/>
        <v>0</v>
      </c>
      <c r="F97" s="297" t="s">
        <v>389</v>
      </c>
      <c r="AJ97" s="267"/>
      <c r="AK97" s="267"/>
      <c r="AL97" s="267"/>
      <c r="AM97" s="267"/>
      <c r="AN97" s="267"/>
      <c r="AO97" s="267"/>
    </row>
    <row r="98" spans="1:41" customFormat="1" ht="31.5" x14ac:dyDescent="0.25">
      <c r="A98" s="290" t="s">
        <v>473</v>
      </c>
      <c r="B98" s="290" t="s">
        <v>382</v>
      </c>
      <c r="C98" s="294">
        <f>SUM(C99:C125)</f>
        <v>913.2080000000002</v>
      </c>
      <c r="D98" s="294">
        <f>SUM(D99:D125)</f>
        <v>215.065</v>
      </c>
      <c r="E98" s="294">
        <f>SUM(E99:E125)</f>
        <v>698.14300000000014</v>
      </c>
      <c r="F98" s="290"/>
      <c r="AJ98" s="267"/>
      <c r="AK98" s="267"/>
      <c r="AL98" s="267"/>
      <c r="AM98" s="267"/>
      <c r="AN98" s="267"/>
      <c r="AO98" s="267"/>
    </row>
    <row r="99" spans="1:41" customFormat="1" ht="15.75" x14ac:dyDescent="0.25">
      <c r="A99" s="292" t="s">
        <v>192</v>
      </c>
      <c r="B99" s="290" t="s">
        <v>382</v>
      </c>
      <c r="C99" s="291">
        <v>0</v>
      </c>
      <c r="D99" s="291">
        <v>0</v>
      </c>
      <c r="E99" s="291">
        <v>0</v>
      </c>
      <c r="F99" s="290" t="s">
        <v>382</v>
      </c>
      <c r="AJ99" s="267"/>
      <c r="AK99" s="267"/>
      <c r="AL99" s="267"/>
      <c r="AM99" s="267"/>
      <c r="AN99" s="267"/>
      <c r="AO99" s="267"/>
    </row>
    <row r="100" spans="1:41" customFormat="1" ht="31.5" x14ac:dyDescent="0.25">
      <c r="A100" s="295" t="s">
        <v>387</v>
      </c>
      <c r="B100" s="292" t="s">
        <v>474</v>
      </c>
      <c r="C100" s="293">
        <v>24.995000000000001</v>
      </c>
      <c r="D100" s="293">
        <v>24.649000000000001</v>
      </c>
      <c r="E100" s="293">
        <f t="shared" ref="E100:E127" si="5">C100-D100</f>
        <v>0.34600000000000009</v>
      </c>
      <c r="F100" s="292" t="s">
        <v>389</v>
      </c>
      <c r="AJ100" s="267"/>
      <c r="AK100" s="267"/>
      <c r="AL100" s="267"/>
      <c r="AM100" s="267"/>
      <c r="AN100" s="267"/>
      <c r="AO100" s="267"/>
    </row>
    <row r="101" spans="1:41" customFormat="1" ht="31.5" x14ac:dyDescent="0.25">
      <c r="A101" s="295" t="s">
        <v>411</v>
      </c>
      <c r="B101" s="292" t="s">
        <v>474</v>
      </c>
      <c r="C101" s="293">
        <v>18.998000000000001</v>
      </c>
      <c r="D101" s="293">
        <v>9.4920000000000009</v>
      </c>
      <c r="E101" s="293">
        <f t="shared" si="5"/>
        <v>9.5060000000000002</v>
      </c>
      <c r="F101" s="292" t="s">
        <v>389</v>
      </c>
      <c r="AJ101" s="267"/>
      <c r="AK101" s="267"/>
      <c r="AL101" s="267"/>
      <c r="AM101" s="267"/>
      <c r="AN101" s="267"/>
      <c r="AO101" s="267"/>
    </row>
    <row r="102" spans="1:41" customFormat="1" ht="31.5" x14ac:dyDescent="0.25">
      <c r="A102" s="295" t="s">
        <v>413</v>
      </c>
      <c r="B102" s="292" t="s">
        <v>391</v>
      </c>
      <c r="C102" s="293">
        <v>22.568000000000001</v>
      </c>
      <c r="D102" s="293">
        <v>19.771999999999998</v>
      </c>
      <c r="E102" s="293">
        <f t="shared" si="5"/>
        <v>2.7960000000000029</v>
      </c>
      <c r="F102" s="292" t="s">
        <v>389</v>
      </c>
      <c r="AJ102" s="267"/>
      <c r="AK102" s="267"/>
      <c r="AL102" s="267"/>
      <c r="AM102" s="267"/>
      <c r="AN102" s="267"/>
      <c r="AO102" s="267"/>
    </row>
    <row r="103" spans="1:41" customFormat="1" ht="31.5" x14ac:dyDescent="0.25">
      <c r="A103" s="295" t="s">
        <v>414</v>
      </c>
      <c r="B103" s="292" t="s">
        <v>415</v>
      </c>
      <c r="C103" s="293">
        <v>28.283000000000001</v>
      </c>
      <c r="D103" s="293">
        <v>27.582000000000001</v>
      </c>
      <c r="E103" s="293">
        <f t="shared" si="5"/>
        <v>0.70100000000000051</v>
      </c>
      <c r="F103" s="292" t="s">
        <v>389</v>
      </c>
      <c r="AJ103" s="267"/>
      <c r="AK103" s="267"/>
      <c r="AL103" s="267"/>
      <c r="AM103" s="267"/>
      <c r="AN103" s="267"/>
      <c r="AO103" s="267"/>
    </row>
    <row r="104" spans="1:41" customFormat="1" ht="31.5" x14ac:dyDescent="0.25">
      <c r="A104" s="295" t="s">
        <v>416</v>
      </c>
      <c r="B104" s="292" t="s">
        <v>417</v>
      </c>
      <c r="C104" s="293">
        <v>0.112</v>
      </c>
      <c r="D104" s="293">
        <v>0.112</v>
      </c>
      <c r="E104" s="293">
        <f t="shared" si="5"/>
        <v>0</v>
      </c>
      <c r="F104" s="292" t="s">
        <v>389</v>
      </c>
      <c r="AJ104" s="267"/>
      <c r="AK104" s="267"/>
      <c r="AL104" s="267"/>
      <c r="AM104" s="267"/>
      <c r="AN104" s="267"/>
      <c r="AO104" s="267"/>
    </row>
    <row r="105" spans="1:41" customFormat="1" ht="31.5" x14ac:dyDescent="0.25">
      <c r="A105" s="295" t="s">
        <v>418</v>
      </c>
      <c r="B105" s="292" t="s">
        <v>419</v>
      </c>
      <c r="C105" s="293">
        <v>0.1</v>
      </c>
      <c r="D105" s="293">
        <v>0.1</v>
      </c>
      <c r="E105" s="293">
        <f t="shared" si="5"/>
        <v>0</v>
      </c>
      <c r="F105" s="292" t="s">
        <v>389</v>
      </c>
      <c r="AJ105" s="267"/>
      <c r="AK105" s="267"/>
      <c r="AL105" s="267"/>
      <c r="AM105" s="267"/>
      <c r="AN105" s="267"/>
      <c r="AO105" s="267"/>
    </row>
    <row r="106" spans="1:41" customFormat="1" ht="31.5" x14ac:dyDescent="0.25">
      <c r="A106" s="295" t="s">
        <v>420</v>
      </c>
      <c r="B106" s="292" t="s">
        <v>393</v>
      </c>
      <c r="C106" s="293">
        <v>18.773</v>
      </c>
      <c r="D106" s="293">
        <v>12.473000000000001</v>
      </c>
      <c r="E106" s="293">
        <f t="shared" si="5"/>
        <v>6.2999999999999989</v>
      </c>
      <c r="F106" s="292" t="s">
        <v>389</v>
      </c>
      <c r="AJ106" s="267"/>
      <c r="AK106" s="267"/>
      <c r="AL106" s="267"/>
      <c r="AM106" s="267"/>
      <c r="AN106" s="267"/>
      <c r="AO106" s="267"/>
    </row>
    <row r="107" spans="1:41" customFormat="1" ht="31.5" x14ac:dyDescent="0.25">
      <c r="A107" s="295" t="s">
        <v>421</v>
      </c>
      <c r="B107" s="292" t="s">
        <v>475</v>
      </c>
      <c r="C107" s="293">
        <v>14.967000000000001</v>
      </c>
      <c r="D107" s="293">
        <v>14.788</v>
      </c>
      <c r="E107" s="293">
        <f t="shared" si="5"/>
        <v>0.17900000000000027</v>
      </c>
      <c r="F107" s="292" t="s">
        <v>389</v>
      </c>
      <c r="AJ107" s="267"/>
      <c r="AK107" s="267"/>
      <c r="AL107" s="267"/>
      <c r="AM107" s="267"/>
      <c r="AN107" s="267"/>
      <c r="AO107" s="267"/>
    </row>
    <row r="108" spans="1:41" customFormat="1" ht="31.5" x14ac:dyDescent="0.25">
      <c r="A108" s="295" t="s">
        <v>423</v>
      </c>
      <c r="B108" s="292" t="s">
        <v>424</v>
      </c>
      <c r="C108" s="293">
        <v>6.74</v>
      </c>
      <c r="D108" s="293">
        <v>6.74</v>
      </c>
      <c r="E108" s="293">
        <f t="shared" si="5"/>
        <v>0</v>
      </c>
      <c r="F108" s="292" t="s">
        <v>389</v>
      </c>
      <c r="AJ108" s="267"/>
      <c r="AK108" s="267"/>
      <c r="AL108" s="267"/>
      <c r="AM108" s="267"/>
      <c r="AN108" s="267"/>
      <c r="AO108" s="267"/>
    </row>
    <row r="109" spans="1:41" customFormat="1" ht="47.25" x14ac:dyDescent="0.25">
      <c r="A109" s="295" t="s">
        <v>394</v>
      </c>
      <c r="B109" s="292" t="s">
        <v>476</v>
      </c>
      <c r="C109" s="293">
        <v>12.146000000000001</v>
      </c>
      <c r="D109" s="293">
        <v>11.967000000000001</v>
      </c>
      <c r="E109" s="293">
        <f t="shared" si="5"/>
        <v>0.17900000000000027</v>
      </c>
      <c r="F109" s="292" t="s">
        <v>389</v>
      </c>
      <c r="AJ109" s="267"/>
      <c r="AK109" s="267"/>
      <c r="AL109" s="267"/>
      <c r="AM109" s="267"/>
      <c r="AN109" s="267"/>
      <c r="AO109" s="267"/>
    </row>
    <row r="110" spans="1:41" customFormat="1" ht="31.5" x14ac:dyDescent="0.25">
      <c r="A110" s="295" t="s">
        <v>426</v>
      </c>
      <c r="B110" s="292" t="s">
        <v>427</v>
      </c>
      <c r="C110" s="293">
        <v>8.5000000000000006E-2</v>
      </c>
      <c r="D110" s="293">
        <v>8.5000000000000006E-2</v>
      </c>
      <c r="E110" s="293">
        <f t="shared" si="5"/>
        <v>0</v>
      </c>
      <c r="F110" s="292" t="s">
        <v>389</v>
      </c>
      <c r="AJ110" s="267"/>
      <c r="AK110" s="267"/>
      <c r="AL110" s="267"/>
      <c r="AM110" s="267"/>
      <c r="AN110" s="267"/>
      <c r="AO110" s="267"/>
    </row>
    <row r="111" spans="1:41" customFormat="1" ht="31.5" x14ac:dyDescent="0.25">
      <c r="A111" s="295" t="s">
        <v>428</v>
      </c>
      <c r="B111" s="292" t="s">
        <v>429</v>
      </c>
      <c r="C111" s="293">
        <v>14.223000000000001</v>
      </c>
      <c r="D111" s="293">
        <v>14.044</v>
      </c>
      <c r="E111" s="293">
        <f t="shared" si="5"/>
        <v>0.17900000000000027</v>
      </c>
      <c r="F111" s="292" t="s">
        <v>389</v>
      </c>
      <c r="AJ111" s="267"/>
      <c r="AK111" s="267"/>
      <c r="AL111" s="267"/>
      <c r="AM111" s="267"/>
      <c r="AN111" s="267"/>
      <c r="AO111" s="267"/>
    </row>
    <row r="112" spans="1:41" customFormat="1" ht="31.5" x14ac:dyDescent="0.25">
      <c r="A112" s="295" t="s">
        <v>430</v>
      </c>
      <c r="B112" s="292" t="s">
        <v>431</v>
      </c>
      <c r="C112" s="293">
        <v>3.5</v>
      </c>
      <c r="D112" s="293">
        <v>3.5</v>
      </c>
      <c r="E112" s="293">
        <f t="shared" si="5"/>
        <v>0</v>
      </c>
      <c r="F112" s="292" t="s">
        <v>389</v>
      </c>
      <c r="AJ112" s="267"/>
      <c r="AK112" s="267"/>
      <c r="AL112" s="267"/>
      <c r="AM112" s="267"/>
      <c r="AN112" s="267"/>
      <c r="AO112" s="267"/>
    </row>
    <row r="113" spans="1:41" customFormat="1" ht="47.25" x14ac:dyDescent="0.25">
      <c r="A113" s="295" t="s">
        <v>432</v>
      </c>
      <c r="B113" s="292" t="s">
        <v>397</v>
      </c>
      <c r="C113" s="293">
        <v>72.647000000000006</v>
      </c>
      <c r="D113" s="293">
        <v>11.311999999999999</v>
      </c>
      <c r="E113" s="293">
        <f t="shared" si="5"/>
        <v>61.335000000000008</v>
      </c>
      <c r="F113" s="292" t="s">
        <v>389</v>
      </c>
      <c r="AJ113" s="267"/>
      <c r="AK113" s="267"/>
      <c r="AL113" s="267"/>
      <c r="AM113" s="267"/>
      <c r="AN113" s="267"/>
      <c r="AO113" s="267"/>
    </row>
    <row r="114" spans="1:41" customFormat="1" ht="31.5" x14ac:dyDescent="0.25">
      <c r="A114" s="295" t="s">
        <v>435</v>
      </c>
      <c r="B114" s="292" t="s">
        <v>436</v>
      </c>
      <c r="C114" s="293">
        <v>66.099000000000004</v>
      </c>
      <c r="D114" s="293">
        <v>4.3499999999999996</v>
      </c>
      <c r="E114" s="293">
        <f t="shared" si="5"/>
        <v>61.749000000000002</v>
      </c>
      <c r="F114" s="292" t="s">
        <v>389</v>
      </c>
      <c r="AJ114" s="267"/>
      <c r="AK114" s="267"/>
      <c r="AL114" s="267"/>
      <c r="AM114" s="267"/>
      <c r="AN114" s="267"/>
      <c r="AO114" s="267"/>
    </row>
    <row r="115" spans="1:41" customFormat="1" ht="31.5" x14ac:dyDescent="0.25">
      <c r="A115" s="295" t="s">
        <v>439</v>
      </c>
      <c r="B115" s="292" t="s">
        <v>440</v>
      </c>
      <c r="C115" s="293">
        <v>71.412000000000006</v>
      </c>
      <c r="D115" s="293">
        <v>9.5540000000000003</v>
      </c>
      <c r="E115" s="293">
        <f t="shared" si="5"/>
        <v>61.858000000000004</v>
      </c>
      <c r="F115" s="292" t="s">
        <v>389</v>
      </c>
      <c r="AJ115" s="267"/>
      <c r="AK115" s="267"/>
      <c r="AL115" s="267"/>
      <c r="AM115" s="267"/>
      <c r="AN115" s="267"/>
      <c r="AO115" s="267"/>
    </row>
    <row r="116" spans="1:41" customFormat="1" ht="63" x14ac:dyDescent="0.25">
      <c r="A116" s="295" t="s">
        <v>443</v>
      </c>
      <c r="B116" s="292" t="s">
        <v>403</v>
      </c>
      <c r="C116" s="293">
        <v>0.504</v>
      </c>
      <c r="D116" s="293">
        <v>0.504</v>
      </c>
      <c r="E116" s="293">
        <f t="shared" si="5"/>
        <v>0</v>
      </c>
      <c r="F116" s="292" t="s">
        <v>389</v>
      </c>
      <c r="AJ116" s="267"/>
      <c r="AK116" s="267"/>
      <c r="AL116" s="267"/>
      <c r="AM116" s="267"/>
      <c r="AN116" s="267"/>
      <c r="AO116" s="267"/>
    </row>
    <row r="117" spans="1:41" customFormat="1" ht="31.5" x14ac:dyDescent="0.25">
      <c r="A117" s="295" t="s">
        <v>444</v>
      </c>
      <c r="B117" s="292" t="s">
        <v>477</v>
      </c>
      <c r="C117" s="293">
        <v>68.498999999999995</v>
      </c>
      <c r="D117" s="293">
        <v>6.75</v>
      </c>
      <c r="E117" s="293">
        <f t="shared" si="5"/>
        <v>61.748999999999995</v>
      </c>
      <c r="F117" s="292" t="s">
        <v>389</v>
      </c>
      <c r="AJ117" s="267"/>
      <c r="AK117" s="267"/>
      <c r="AL117" s="267"/>
      <c r="AM117" s="267"/>
      <c r="AN117" s="267"/>
      <c r="AO117" s="267"/>
    </row>
    <row r="118" spans="1:41" customFormat="1" ht="31.5" x14ac:dyDescent="0.25">
      <c r="A118" s="295" t="s">
        <v>446</v>
      </c>
      <c r="B118" s="292" t="s">
        <v>405</v>
      </c>
      <c r="C118" s="293">
        <v>71.412000000000006</v>
      </c>
      <c r="D118" s="293">
        <v>10.098000000000001</v>
      </c>
      <c r="E118" s="293">
        <f t="shared" si="5"/>
        <v>61.314000000000007</v>
      </c>
      <c r="F118" s="292" t="s">
        <v>389</v>
      </c>
      <c r="AJ118" s="267"/>
      <c r="AK118" s="267"/>
      <c r="AL118" s="267"/>
      <c r="AM118" s="267"/>
      <c r="AN118" s="267"/>
      <c r="AO118" s="267"/>
    </row>
    <row r="119" spans="1:41" customFormat="1" ht="31.5" x14ac:dyDescent="0.25">
      <c r="A119" s="295" t="s">
        <v>449</v>
      </c>
      <c r="B119" s="292" t="s">
        <v>450</v>
      </c>
      <c r="C119" s="293">
        <v>68.552000000000007</v>
      </c>
      <c r="D119" s="293">
        <v>6.8029999999999999</v>
      </c>
      <c r="E119" s="293">
        <f t="shared" si="5"/>
        <v>61.749000000000009</v>
      </c>
      <c r="F119" s="292" t="s">
        <v>389</v>
      </c>
      <c r="AJ119" s="267"/>
      <c r="AK119" s="267"/>
      <c r="AL119" s="267"/>
      <c r="AM119" s="267"/>
      <c r="AN119" s="267"/>
      <c r="AO119" s="267"/>
    </row>
    <row r="120" spans="1:41" customFormat="1" ht="63" x14ac:dyDescent="0.25">
      <c r="A120" s="295" t="s">
        <v>451</v>
      </c>
      <c r="B120" s="292" t="s">
        <v>407</v>
      </c>
      <c r="C120" s="293">
        <v>68.498999999999995</v>
      </c>
      <c r="D120" s="293">
        <v>7.2919999999999998</v>
      </c>
      <c r="E120" s="293">
        <f t="shared" si="5"/>
        <v>61.206999999999994</v>
      </c>
      <c r="F120" s="292" t="s">
        <v>389</v>
      </c>
      <c r="AJ120" s="267"/>
      <c r="AK120" s="267"/>
      <c r="AL120" s="267"/>
      <c r="AM120" s="267"/>
      <c r="AN120" s="267"/>
      <c r="AO120" s="267"/>
    </row>
    <row r="121" spans="1:41" customFormat="1" ht="31.5" x14ac:dyDescent="0.25">
      <c r="A121" s="295" t="s">
        <v>452</v>
      </c>
      <c r="B121" s="292" t="s">
        <v>409</v>
      </c>
      <c r="C121" s="293">
        <v>9.8000000000000004E-2</v>
      </c>
      <c r="D121" s="293">
        <v>9.8000000000000004E-2</v>
      </c>
      <c r="E121" s="293">
        <f t="shared" si="5"/>
        <v>0</v>
      </c>
      <c r="F121" s="292" t="s">
        <v>389</v>
      </c>
      <c r="AJ121" s="267"/>
      <c r="AK121" s="267"/>
      <c r="AL121" s="267"/>
      <c r="AM121" s="267"/>
      <c r="AN121" s="267"/>
      <c r="AO121" s="267"/>
    </row>
    <row r="122" spans="1:41" customFormat="1" ht="31.5" x14ac:dyDescent="0.25">
      <c r="A122" s="295" t="s">
        <v>433</v>
      </c>
      <c r="B122" s="292" t="s">
        <v>434</v>
      </c>
      <c r="C122" s="293">
        <v>64.998999999999995</v>
      </c>
      <c r="D122" s="293">
        <v>3.25</v>
      </c>
      <c r="E122" s="293">
        <f t="shared" si="5"/>
        <v>61.748999999999995</v>
      </c>
      <c r="F122" s="292" t="s">
        <v>389</v>
      </c>
      <c r="G122" s="302"/>
      <c r="AJ122" s="267"/>
      <c r="AK122" s="267"/>
      <c r="AL122" s="267"/>
      <c r="AM122" s="267"/>
      <c r="AN122" s="267"/>
      <c r="AO122" s="267"/>
    </row>
    <row r="123" spans="1:41" customFormat="1" ht="31.5" x14ac:dyDescent="0.25">
      <c r="A123" s="295" t="s">
        <v>447</v>
      </c>
      <c r="B123" s="292" t="s">
        <v>448</v>
      </c>
      <c r="C123" s="293">
        <v>64.998999999999995</v>
      </c>
      <c r="D123" s="293">
        <v>3.25</v>
      </c>
      <c r="E123" s="293">
        <f t="shared" si="5"/>
        <v>61.748999999999995</v>
      </c>
      <c r="F123" s="292" t="s">
        <v>389</v>
      </c>
      <c r="G123" s="1"/>
      <c r="AJ123" s="267"/>
      <c r="AK123" s="267"/>
      <c r="AL123" s="267"/>
      <c r="AM123" s="267"/>
      <c r="AN123" s="267"/>
      <c r="AO123" s="267"/>
    </row>
    <row r="124" spans="1:41" customFormat="1" ht="31.5" x14ac:dyDescent="0.25">
      <c r="A124" s="295" t="s">
        <v>437</v>
      </c>
      <c r="B124" s="292" t="s">
        <v>438</v>
      </c>
      <c r="C124" s="293">
        <v>64.998999999999995</v>
      </c>
      <c r="D124" s="293">
        <v>3.25</v>
      </c>
      <c r="E124" s="293">
        <f t="shared" si="5"/>
        <v>61.748999999999995</v>
      </c>
      <c r="F124" s="292" t="s">
        <v>389</v>
      </c>
      <c r="G124" s="3"/>
      <c r="H124" s="3"/>
      <c r="I124" s="3"/>
      <c r="AJ124" s="267"/>
      <c r="AK124" s="267"/>
      <c r="AL124" s="267"/>
      <c r="AM124" s="267"/>
      <c r="AN124" s="267"/>
      <c r="AO124" s="267"/>
    </row>
    <row r="125" spans="1:41" ht="31.5" x14ac:dyDescent="0.25">
      <c r="A125" s="295" t="s">
        <v>441</v>
      </c>
      <c r="B125" s="292" t="s">
        <v>442</v>
      </c>
      <c r="C125" s="293">
        <v>64.998999999999995</v>
      </c>
      <c r="D125" s="293">
        <v>3.25</v>
      </c>
      <c r="E125" s="293">
        <f t="shared" si="5"/>
        <v>61.748999999999995</v>
      </c>
      <c r="F125" s="292" t="s">
        <v>389</v>
      </c>
    </row>
    <row r="126" spans="1:41" ht="15.6" customHeight="1" x14ac:dyDescent="0.25">
      <c r="A126" s="290" t="s">
        <v>197</v>
      </c>
      <c r="B126" s="290" t="s">
        <v>382</v>
      </c>
      <c r="C126" s="291">
        <v>0</v>
      </c>
      <c r="D126" s="291">
        <v>0</v>
      </c>
      <c r="E126" s="291">
        <f t="shared" si="5"/>
        <v>0</v>
      </c>
      <c r="F126" s="290" t="s">
        <v>382</v>
      </c>
    </row>
    <row r="127" spans="1:41" ht="15.75" x14ac:dyDescent="0.25">
      <c r="A127" s="292" t="s">
        <v>192</v>
      </c>
      <c r="B127" s="292" t="s">
        <v>382</v>
      </c>
      <c r="C127" s="293">
        <v>0</v>
      </c>
      <c r="D127" s="293">
        <v>0</v>
      </c>
      <c r="E127" s="293">
        <f t="shared" si="5"/>
        <v>0</v>
      </c>
      <c r="F127" s="292" t="s">
        <v>382</v>
      </c>
    </row>
    <row r="128" spans="1:41" ht="15.75" x14ac:dyDescent="0.25">
      <c r="A128" s="290" t="s">
        <v>198</v>
      </c>
      <c r="B128" s="290"/>
      <c r="C128" s="291">
        <f>C98+C77+C46+C31</f>
        <v>24874.878000000004</v>
      </c>
      <c r="D128" s="291">
        <f>D98+D77+D46+D31</f>
        <v>8237.3513999999996</v>
      </c>
      <c r="E128" s="291">
        <f>E98+E77+E46+E31</f>
        <v>16637.526600000001</v>
      </c>
      <c r="F128" s="290" t="s">
        <v>382</v>
      </c>
    </row>
    <row r="129" spans="1:6" x14ac:dyDescent="0.25">
      <c r="A129"/>
      <c r="B129"/>
      <c r="C129"/>
      <c r="D129"/>
      <c r="E129"/>
      <c r="F129"/>
    </row>
    <row r="130" spans="1:6" x14ac:dyDescent="0.25">
      <c r="A130" s="299" t="s">
        <v>376</v>
      </c>
      <c r="B130" s="300"/>
      <c r="C130" s="301"/>
      <c r="D130"/>
      <c r="E130" s="387" t="s">
        <v>500</v>
      </c>
      <c r="F130" s="387"/>
    </row>
    <row r="131" spans="1:6" x14ac:dyDescent="0.25">
      <c r="A131" s="36" t="s">
        <v>478</v>
      </c>
      <c r="B131"/>
      <c r="C131" s="36" t="s">
        <v>260</v>
      </c>
      <c r="D131"/>
      <c r="E131" s="303" t="s">
        <v>129</v>
      </c>
      <c r="F131" s="303"/>
    </row>
    <row r="132" spans="1:6" x14ac:dyDescent="0.25">
      <c r="A132" s="3"/>
      <c r="B132" s="3"/>
      <c r="C132" s="3"/>
      <c r="D132" s="3"/>
      <c r="E132" s="3"/>
      <c r="F132" s="3"/>
    </row>
  </sheetData>
  <mergeCells count="5">
    <mergeCell ref="E130:F130"/>
    <mergeCell ref="D1:F1"/>
    <mergeCell ref="D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39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88"/>
  <sheetViews>
    <sheetView topLeftCell="A28" zoomScale="90" zoomScaleNormal="90" workbookViewId="0">
      <selection activeCell="H10" sqref="H10"/>
    </sheetView>
  </sheetViews>
  <sheetFormatPr defaultRowHeight="15" x14ac:dyDescent="0.25"/>
  <cols>
    <col min="1" max="1" width="6.5703125" customWidth="1"/>
    <col min="2" max="2" width="21.5703125" customWidth="1"/>
    <col min="3" max="3" width="17.28515625" customWidth="1"/>
    <col min="4" max="4" width="20.85546875" customWidth="1"/>
    <col min="5" max="5" width="15.140625" customWidth="1"/>
    <col min="6" max="6" width="17.5703125" customWidth="1"/>
    <col min="7" max="7" width="18" customWidth="1"/>
    <col min="8" max="8" width="18.28515625" customWidth="1"/>
  </cols>
  <sheetData>
    <row r="1" spans="1:21" x14ac:dyDescent="0.25">
      <c r="E1" s="394" t="s">
        <v>511</v>
      </c>
      <c r="F1" s="394"/>
      <c r="G1" s="394"/>
    </row>
    <row r="2" spans="1:21" x14ac:dyDescent="0.25">
      <c r="F2" s="404" t="s">
        <v>232</v>
      </c>
      <c r="G2" s="404"/>
    </row>
    <row r="3" spans="1:21" ht="15.75" x14ac:dyDescent="0.25">
      <c r="A3" s="388" t="s">
        <v>231</v>
      </c>
      <c r="B3" s="388"/>
      <c r="C3" s="388"/>
      <c r="D3" s="388"/>
      <c r="E3" s="388"/>
      <c r="F3" s="388"/>
      <c r="G3" s="388"/>
    </row>
    <row r="5" spans="1:21" x14ac:dyDescent="0.25">
      <c r="A5" s="408" t="s">
        <v>229</v>
      </c>
      <c r="B5" s="408"/>
      <c r="C5" s="408"/>
      <c r="D5" s="408"/>
      <c r="E5" s="408"/>
      <c r="F5" s="408"/>
      <c r="G5" s="408"/>
    </row>
    <row r="7" spans="1:21" ht="45" customHeight="1" x14ac:dyDescent="0.25">
      <c r="A7" s="401" t="s">
        <v>111</v>
      </c>
      <c r="B7" s="401" t="s">
        <v>171</v>
      </c>
      <c r="C7" s="401" t="s">
        <v>172</v>
      </c>
      <c r="D7" s="401" t="s">
        <v>173</v>
      </c>
      <c r="E7" s="412" t="s">
        <v>174</v>
      </c>
      <c r="F7" s="413"/>
      <c r="G7" s="401" t="s">
        <v>228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75" x14ac:dyDescent="0.25">
      <c r="A8" s="402"/>
      <c r="B8" s="402"/>
      <c r="C8" s="402"/>
      <c r="D8" s="402"/>
      <c r="E8" s="10" t="s">
        <v>258</v>
      </c>
      <c r="F8" s="10" t="s">
        <v>177</v>
      </c>
      <c r="G8" s="402"/>
      <c r="H8" s="4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x14ac:dyDescent="0.25">
      <c r="A10" s="10">
        <v>1</v>
      </c>
      <c r="B10" s="10" t="s">
        <v>372</v>
      </c>
      <c r="C10" s="10">
        <v>2005</v>
      </c>
      <c r="D10" s="10" t="s">
        <v>373</v>
      </c>
      <c r="E10" s="10">
        <v>73.33</v>
      </c>
      <c r="F10" s="10">
        <v>73.33</v>
      </c>
      <c r="G10" s="10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A11" s="10">
        <v>2</v>
      </c>
      <c r="B11" s="10" t="s">
        <v>374</v>
      </c>
      <c r="C11" s="10">
        <v>2016</v>
      </c>
      <c r="D11" s="10" t="s">
        <v>373</v>
      </c>
      <c r="E11" s="10">
        <v>73.33</v>
      </c>
      <c r="F11" s="10">
        <v>73.33</v>
      </c>
      <c r="G11" s="10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A12" s="10">
        <v>3</v>
      </c>
      <c r="B12" s="10" t="s">
        <v>375</v>
      </c>
      <c r="C12" s="10">
        <v>2017</v>
      </c>
      <c r="D12" s="10" t="s">
        <v>373</v>
      </c>
      <c r="E12" s="10">
        <v>73.34</v>
      </c>
      <c r="F12" s="10">
        <v>73.34</v>
      </c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ht="24" x14ac:dyDescent="0.25">
      <c r="A13" s="10">
        <v>4</v>
      </c>
      <c r="B13" s="305" t="s">
        <v>479</v>
      </c>
      <c r="C13" s="305">
        <v>2013</v>
      </c>
      <c r="D13" s="305" t="s">
        <v>480</v>
      </c>
      <c r="E13" s="305">
        <v>0</v>
      </c>
      <c r="F13" s="305">
        <v>0</v>
      </c>
      <c r="G13" s="305"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4" x14ac:dyDescent="0.25">
      <c r="A14" s="10">
        <v>5</v>
      </c>
      <c r="B14" s="305" t="s">
        <v>481</v>
      </c>
      <c r="C14" s="305">
        <v>1998</v>
      </c>
      <c r="D14" s="305" t="s">
        <v>480</v>
      </c>
      <c r="E14" s="305">
        <v>2007</v>
      </c>
      <c r="F14" s="305">
        <v>10000</v>
      </c>
      <c r="G14" s="305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A15" s="10">
        <v>6</v>
      </c>
      <c r="B15" s="306" t="s">
        <v>482</v>
      </c>
      <c r="C15" s="306">
        <v>2016</v>
      </c>
      <c r="D15" s="306" t="s">
        <v>480</v>
      </c>
      <c r="E15" s="305">
        <v>2200</v>
      </c>
      <c r="F15" s="305">
        <v>6385</v>
      </c>
      <c r="G15" s="305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ht="24" x14ac:dyDescent="0.25">
      <c r="A16" s="10">
        <v>7</v>
      </c>
      <c r="B16" s="306" t="s">
        <v>483</v>
      </c>
      <c r="C16" s="306">
        <v>2009</v>
      </c>
      <c r="D16" s="306" t="s">
        <v>480</v>
      </c>
      <c r="E16" s="305">
        <v>3545</v>
      </c>
      <c r="F16" s="305">
        <v>4831</v>
      </c>
      <c r="G16" s="305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24" x14ac:dyDescent="0.25">
      <c r="A17" s="10">
        <v>8</v>
      </c>
      <c r="B17" s="305" t="s">
        <v>484</v>
      </c>
      <c r="C17" s="305">
        <v>2010</v>
      </c>
      <c r="D17" s="305" t="s">
        <v>480</v>
      </c>
      <c r="E17" s="305">
        <v>11390</v>
      </c>
      <c r="F17" s="305">
        <v>17663</v>
      </c>
      <c r="G17" s="305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25">
      <c r="A18" s="10">
        <v>9</v>
      </c>
      <c r="B18" s="306" t="s">
        <v>485</v>
      </c>
      <c r="C18" s="306">
        <v>2020</v>
      </c>
      <c r="D18" s="306" t="s">
        <v>480</v>
      </c>
      <c r="E18" s="305">
        <v>0</v>
      </c>
      <c r="F18" s="305">
        <v>0</v>
      </c>
      <c r="G18" s="305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24" x14ac:dyDescent="0.25">
      <c r="A19" s="10">
        <v>10</v>
      </c>
      <c r="B19" s="306" t="s">
        <v>486</v>
      </c>
      <c r="C19" s="306">
        <v>2006</v>
      </c>
      <c r="D19" s="306" t="s">
        <v>480</v>
      </c>
      <c r="E19" s="305">
        <v>0</v>
      </c>
      <c r="F19" s="305">
        <v>0</v>
      </c>
      <c r="G19" s="305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25">
      <c r="A20" s="10">
        <v>11</v>
      </c>
      <c r="B20" s="306" t="s">
        <v>487</v>
      </c>
      <c r="C20" s="306">
        <v>2012</v>
      </c>
      <c r="D20" s="306" t="s">
        <v>480</v>
      </c>
      <c r="E20" s="305">
        <v>4710</v>
      </c>
      <c r="F20" s="305">
        <v>9000</v>
      </c>
      <c r="G20" s="305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25">
      <c r="A21" s="10">
        <v>12</v>
      </c>
      <c r="B21" s="306" t="s">
        <v>488</v>
      </c>
      <c r="C21" s="306">
        <v>2012</v>
      </c>
      <c r="D21" s="306" t="s">
        <v>480</v>
      </c>
      <c r="E21" s="305">
        <v>5624</v>
      </c>
      <c r="F21" s="305">
        <v>9000</v>
      </c>
      <c r="G21" s="305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25">
      <c r="A22" s="10">
        <v>13</v>
      </c>
      <c r="B22" s="306" t="s">
        <v>489</v>
      </c>
      <c r="C22" s="306">
        <v>2012</v>
      </c>
      <c r="D22" s="306" t="s">
        <v>480</v>
      </c>
      <c r="E22" s="305">
        <v>3545</v>
      </c>
      <c r="F22" s="305">
        <v>4831</v>
      </c>
      <c r="G22" s="305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25">
      <c r="A23" s="10">
        <v>14</v>
      </c>
      <c r="B23" s="306" t="s">
        <v>490</v>
      </c>
      <c r="C23" s="306">
        <v>2012</v>
      </c>
      <c r="D23" s="306" t="s">
        <v>480</v>
      </c>
      <c r="E23" s="305">
        <v>10037</v>
      </c>
      <c r="F23" s="305">
        <v>9000</v>
      </c>
      <c r="G23" s="305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25">
      <c r="A24" s="10">
        <v>15</v>
      </c>
      <c r="B24" s="305" t="s">
        <v>491</v>
      </c>
      <c r="C24" s="305">
        <v>2012</v>
      </c>
      <c r="D24" s="305" t="s">
        <v>480</v>
      </c>
      <c r="E24" s="305">
        <v>0</v>
      </c>
      <c r="F24" s="305">
        <v>0</v>
      </c>
      <c r="G24" s="305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ht="24" x14ac:dyDescent="0.25">
      <c r="A25" s="10">
        <v>16</v>
      </c>
      <c r="B25" s="306" t="s">
        <v>492</v>
      </c>
      <c r="C25" s="306">
        <v>2012</v>
      </c>
      <c r="D25" s="306" t="s">
        <v>480</v>
      </c>
      <c r="E25" s="305">
        <v>0</v>
      </c>
      <c r="F25" s="306">
        <v>0</v>
      </c>
      <c r="G25" s="30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25">
      <c r="A26" s="10">
        <v>17</v>
      </c>
      <c r="B26" s="306" t="s">
        <v>493</v>
      </c>
      <c r="C26" s="305">
        <v>2022</v>
      </c>
      <c r="D26" s="305" t="s">
        <v>480</v>
      </c>
      <c r="E26" s="305">
        <v>0</v>
      </c>
      <c r="F26" s="305">
        <v>21867</v>
      </c>
      <c r="G26" s="305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25">
      <c r="A27" s="306"/>
      <c r="B27" s="306"/>
      <c r="C27" s="306"/>
      <c r="D27" s="306"/>
      <c r="E27" s="306"/>
      <c r="F27" s="306"/>
      <c r="G27" s="306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15.75" customHeight="1" x14ac:dyDescent="0.25">
      <c r="A28" s="409" t="s">
        <v>121</v>
      </c>
      <c r="B28" s="410"/>
      <c r="C28" s="410"/>
      <c r="D28" s="411"/>
      <c r="E28" s="304">
        <f>SUM(E10:E25)</f>
        <v>43278</v>
      </c>
      <c r="F28" s="304">
        <f>SUM(F13:F26)</f>
        <v>92577</v>
      </c>
      <c r="G28" s="304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25">
      <c r="A29" s="10"/>
      <c r="B29" s="10"/>
      <c r="C29" s="10"/>
      <c r="D29" s="10"/>
      <c r="E29" s="10"/>
      <c r="F29" s="10"/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x14ac:dyDescent="0.25">
      <c r="A30" s="10"/>
      <c r="B30" s="10"/>
      <c r="C30" s="10"/>
      <c r="D30" s="10"/>
      <c r="E30" s="10"/>
      <c r="F30" s="10"/>
      <c r="G30" s="1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x14ac:dyDescent="0.25">
      <c r="A31" s="10"/>
      <c r="B31" s="10"/>
      <c r="C31" s="10"/>
      <c r="D31" s="10"/>
      <c r="E31" s="10"/>
      <c r="F31" s="10"/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x14ac:dyDescent="0.25">
      <c r="A32" s="10"/>
      <c r="B32" s="10"/>
      <c r="C32" s="10"/>
      <c r="D32" s="10"/>
      <c r="E32" s="10"/>
      <c r="F32" s="10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x14ac:dyDescent="0.25">
      <c r="A33" s="10"/>
      <c r="B33" s="10"/>
      <c r="C33" s="10"/>
      <c r="D33" s="10"/>
      <c r="E33" s="10"/>
      <c r="F33" s="10"/>
      <c r="G33" s="1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x14ac:dyDescent="0.25">
      <c r="A34" s="10"/>
      <c r="B34" s="10"/>
      <c r="C34" s="10"/>
      <c r="D34" s="10"/>
      <c r="E34" s="10"/>
      <c r="F34" s="10"/>
      <c r="G34" s="1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x14ac:dyDescent="0.25">
      <c r="A35" s="10"/>
      <c r="B35" s="10"/>
      <c r="C35" s="10"/>
      <c r="D35" s="10"/>
      <c r="E35" s="10"/>
      <c r="F35" s="10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x14ac:dyDescent="0.25">
      <c r="A36" s="10"/>
      <c r="B36" s="10"/>
      <c r="C36" s="10"/>
      <c r="D36" s="10"/>
      <c r="E36" s="10"/>
      <c r="F36" s="10"/>
      <c r="G36" s="1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 ht="14.65" customHeight="1" x14ac:dyDescent="0.25">
      <c r="A37" s="405" t="s">
        <v>121</v>
      </c>
      <c r="B37" s="406"/>
      <c r="C37" s="406"/>
      <c r="D37" s="407"/>
      <c r="E37" s="277">
        <f>E10+E11+E12+E28</f>
        <v>43498</v>
      </c>
      <c r="F37" s="277">
        <f t="shared" ref="F37" si="0">F10+F11+F12+F28</f>
        <v>92797</v>
      </c>
      <c r="G37" s="277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ht="14.65" customHeight="1" x14ac:dyDescent="0.25">
      <c r="A39" s="403" t="s">
        <v>230</v>
      </c>
      <c r="B39" s="403"/>
      <c r="C39" s="403"/>
      <c r="D39" s="403"/>
      <c r="E39" s="403"/>
      <c r="F39" s="403"/>
      <c r="G39" s="40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 ht="30" customHeight="1" x14ac:dyDescent="0.25">
      <c r="A41" s="401" t="s">
        <v>111</v>
      </c>
      <c r="B41" s="401" t="s">
        <v>175</v>
      </c>
      <c r="C41" s="401" t="s">
        <v>171</v>
      </c>
      <c r="D41" s="401" t="s">
        <v>173</v>
      </c>
      <c r="E41" s="401" t="s">
        <v>176</v>
      </c>
      <c r="F41" s="412" t="s">
        <v>174</v>
      </c>
      <c r="G41" s="413"/>
      <c r="H41" s="401" t="s">
        <v>228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75" customHeight="1" x14ac:dyDescent="0.25">
      <c r="A42" s="402"/>
      <c r="B42" s="402"/>
      <c r="C42" s="402"/>
      <c r="D42" s="402"/>
      <c r="E42" s="402"/>
      <c r="F42" s="10" t="s">
        <v>258</v>
      </c>
      <c r="G42" s="10" t="s">
        <v>177</v>
      </c>
      <c r="H42" s="402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x14ac:dyDescent="0.25">
      <c r="A43" s="10">
        <v>1</v>
      </c>
      <c r="B43" s="10">
        <v>2</v>
      </c>
      <c r="C43" s="10">
        <v>3</v>
      </c>
      <c r="D43" s="10">
        <v>4</v>
      </c>
      <c r="E43" s="10">
        <v>5</v>
      </c>
      <c r="F43" s="10">
        <v>6</v>
      </c>
      <c r="G43" s="10">
        <v>7</v>
      </c>
      <c r="H43" s="10">
        <v>8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25">
      <c r="A44" s="10"/>
      <c r="B44" s="10"/>
      <c r="C44" s="10"/>
      <c r="D44" s="10"/>
      <c r="E44" s="10"/>
      <c r="F44" s="10"/>
      <c r="G44" s="10"/>
      <c r="H44" s="10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x14ac:dyDescent="0.25">
      <c r="A45" s="10"/>
      <c r="B45" s="10"/>
      <c r="C45" s="10"/>
      <c r="D45" s="10"/>
      <c r="E45" s="10"/>
      <c r="F45" s="10"/>
      <c r="G45" s="10"/>
      <c r="H45" s="1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x14ac:dyDescent="0.25">
      <c r="A46" s="10"/>
      <c r="B46" s="10"/>
      <c r="C46" s="10"/>
      <c r="D46" s="10"/>
      <c r="E46" s="10"/>
      <c r="F46" s="10"/>
      <c r="G46" s="10"/>
      <c r="H46" s="10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x14ac:dyDescent="0.25">
      <c r="A47" s="10"/>
      <c r="B47" s="10"/>
      <c r="C47" s="10"/>
      <c r="D47" s="10"/>
      <c r="E47" s="10"/>
      <c r="F47" s="10"/>
      <c r="G47" s="10"/>
      <c r="H47" s="10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25">
      <c r="A48" s="10"/>
      <c r="B48" s="10"/>
      <c r="C48" s="10"/>
      <c r="D48" s="10"/>
      <c r="E48" s="10"/>
      <c r="F48" s="10"/>
      <c r="G48" s="10"/>
      <c r="H48" s="10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25">
      <c r="A49" s="10"/>
      <c r="B49" s="10"/>
      <c r="C49" s="10"/>
      <c r="D49" s="10"/>
      <c r="E49" s="10"/>
      <c r="F49" s="10"/>
      <c r="G49" s="10"/>
      <c r="H49" s="10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25">
      <c r="A50" s="10"/>
      <c r="B50" s="10"/>
      <c r="C50" s="10"/>
      <c r="D50" s="10"/>
      <c r="E50" s="10"/>
      <c r="F50" s="10"/>
      <c r="G50" s="10"/>
      <c r="H50" s="10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x14ac:dyDescent="0.25">
      <c r="A51" s="10"/>
      <c r="B51" s="10"/>
      <c r="C51" s="10"/>
      <c r="D51" s="10"/>
      <c r="E51" s="10"/>
      <c r="F51" s="10"/>
      <c r="G51" s="10"/>
      <c r="H51" s="10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x14ac:dyDescent="0.25">
      <c r="A52" s="10"/>
      <c r="B52" s="10"/>
      <c r="C52" s="10"/>
      <c r="D52" s="10"/>
      <c r="E52" s="10"/>
      <c r="F52" s="10"/>
      <c r="G52" s="10"/>
      <c r="H52" s="10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x14ac:dyDescent="0.25">
      <c r="A53" s="10"/>
      <c r="B53" s="10"/>
      <c r="C53" s="10"/>
      <c r="D53" s="10"/>
      <c r="E53" s="10"/>
      <c r="F53" s="10"/>
      <c r="G53" s="10"/>
      <c r="H53" s="10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25">
      <c r="A54" s="10"/>
      <c r="B54" s="10"/>
      <c r="C54" s="10"/>
      <c r="D54" s="10"/>
      <c r="E54" s="10"/>
      <c r="F54" s="10"/>
      <c r="G54" s="10"/>
      <c r="H54" s="10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25">
      <c r="A55" s="10"/>
      <c r="B55" s="10"/>
      <c r="C55" s="10"/>
      <c r="D55" s="10"/>
      <c r="E55" s="10"/>
      <c r="F55" s="10"/>
      <c r="G55" s="10"/>
      <c r="H55" s="10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ht="15" customHeight="1" x14ac:dyDescent="0.25">
      <c r="A56" s="405" t="s">
        <v>121</v>
      </c>
      <c r="B56" s="406"/>
      <c r="C56" s="406"/>
      <c r="D56" s="406"/>
      <c r="E56" s="407"/>
      <c r="F56" s="10"/>
      <c r="G56" s="10"/>
      <c r="H56" s="10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14.65" customHeight="1" x14ac:dyDescent="0.25">
      <c r="A58" s="9"/>
      <c r="B58" s="6" t="s">
        <v>376</v>
      </c>
      <c r="C58" s="385" t="s">
        <v>127</v>
      </c>
      <c r="D58" s="385"/>
      <c r="E58" s="342" t="s">
        <v>500</v>
      </c>
      <c r="F58" s="342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25">
      <c r="A59" s="9"/>
      <c r="B59" s="7" t="s">
        <v>126</v>
      </c>
      <c r="C59" s="386" t="s">
        <v>128</v>
      </c>
      <c r="D59" s="386"/>
      <c r="E59" s="342" t="s">
        <v>129</v>
      </c>
      <c r="F59" s="342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</sheetData>
  <mergeCells count="25">
    <mergeCell ref="C59:D59"/>
    <mergeCell ref="E59:F59"/>
    <mergeCell ref="E1:G1"/>
    <mergeCell ref="F41:G41"/>
    <mergeCell ref="A56:E56"/>
    <mergeCell ref="G7:G8"/>
    <mergeCell ref="E7:F7"/>
    <mergeCell ref="C7:C8"/>
    <mergeCell ref="D7:D8"/>
    <mergeCell ref="C58:D58"/>
    <mergeCell ref="E58:F58"/>
    <mergeCell ref="H41:H42"/>
    <mergeCell ref="A39:G39"/>
    <mergeCell ref="A3:G3"/>
    <mergeCell ref="F2:G2"/>
    <mergeCell ref="A37:D37"/>
    <mergeCell ref="A5:G5"/>
    <mergeCell ref="A41:A42"/>
    <mergeCell ref="B41:B42"/>
    <mergeCell ref="C41:C42"/>
    <mergeCell ref="D41:D42"/>
    <mergeCell ref="E41:E42"/>
    <mergeCell ref="A7:A8"/>
    <mergeCell ref="B7:B8"/>
    <mergeCell ref="A28:D28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72"/>
  <sheetViews>
    <sheetView topLeftCell="A37" workbookViewId="0">
      <selection activeCell="A3" sqref="A3:J3"/>
    </sheetView>
  </sheetViews>
  <sheetFormatPr defaultRowHeight="15" x14ac:dyDescent="0.25"/>
  <cols>
    <col min="1" max="1" width="35.28515625" customWidth="1"/>
    <col min="2" max="2" width="8.5703125" customWidth="1"/>
    <col min="3" max="3" width="10.140625" customWidth="1"/>
    <col min="4" max="4" width="11.140625" customWidth="1"/>
    <col min="5" max="5" width="12" customWidth="1"/>
    <col min="6" max="6" width="14.42578125" customWidth="1"/>
    <col min="7" max="7" width="10.140625" customWidth="1"/>
    <col min="8" max="8" width="11.140625" customWidth="1"/>
    <col min="9" max="9" width="12.85546875" customWidth="1"/>
    <col min="10" max="10" width="15.140625" customWidth="1"/>
    <col min="11" max="11" width="45.5703125" customWidth="1"/>
    <col min="12" max="1025" width="8.5703125" customWidth="1"/>
  </cols>
  <sheetData>
    <row r="1" spans="1:10" x14ac:dyDescent="0.25">
      <c r="I1" s="153" t="s">
        <v>335</v>
      </c>
    </row>
    <row r="2" spans="1:10" ht="14.65" customHeight="1" x14ac:dyDescent="0.25">
      <c r="A2" s="414" t="s">
        <v>336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x14ac:dyDescent="0.25">
      <c r="A3" s="415"/>
      <c r="B3" s="415"/>
      <c r="C3" s="415"/>
      <c r="D3" s="415"/>
      <c r="E3" s="415"/>
      <c r="F3" s="415"/>
      <c r="G3" s="415"/>
      <c r="H3" s="415"/>
      <c r="I3" s="415"/>
      <c r="J3" s="415"/>
    </row>
    <row r="4" spans="1:10" x14ac:dyDescent="0.25">
      <c r="A4" s="416" t="s">
        <v>337</v>
      </c>
      <c r="B4" s="416"/>
      <c r="C4" s="416"/>
      <c r="D4" s="416"/>
      <c r="E4" s="416"/>
      <c r="F4" s="416"/>
      <c r="G4" s="416"/>
      <c r="H4" s="416"/>
      <c r="I4" s="416"/>
      <c r="J4" s="416"/>
    </row>
    <row r="5" spans="1:10" x14ac:dyDescent="0.25">
      <c r="A5" s="417" t="s">
        <v>338</v>
      </c>
      <c r="B5" s="417"/>
      <c r="C5" s="417"/>
      <c r="D5" s="417"/>
      <c r="E5" s="417"/>
      <c r="F5" s="417"/>
      <c r="G5" s="417"/>
      <c r="H5" s="417"/>
      <c r="I5" s="417"/>
      <c r="J5" s="417"/>
    </row>
    <row r="6" spans="1:10" x14ac:dyDescent="0.25">
      <c r="A6" s="154"/>
      <c r="B6" s="155"/>
      <c r="C6" s="155"/>
      <c r="D6" s="155"/>
      <c r="E6" s="155"/>
      <c r="F6" s="155"/>
      <c r="G6" s="156"/>
      <c r="H6" s="156"/>
      <c r="I6" s="157"/>
      <c r="J6" s="156" t="s">
        <v>164</v>
      </c>
    </row>
    <row r="7" spans="1:10" ht="20.25" customHeight="1" x14ac:dyDescent="0.25">
      <c r="A7" s="418" t="s">
        <v>339</v>
      </c>
      <c r="B7" s="418" t="s">
        <v>259</v>
      </c>
      <c r="C7" s="418" t="s">
        <v>340</v>
      </c>
      <c r="D7" s="418"/>
      <c r="E7" s="418"/>
      <c r="F7" s="418"/>
      <c r="G7" s="418" t="s">
        <v>341</v>
      </c>
      <c r="H7" s="418"/>
      <c r="I7" s="418"/>
      <c r="J7" s="418"/>
    </row>
    <row r="8" spans="1:10" ht="24" x14ac:dyDescent="0.25">
      <c r="A8" s="418"/>
      <c r="B8" s="418"/>
      <c r="C8" s="158" t="s">
        <v>342</v>
      </c>
      <c r="D8" s="158" t="s">
        <v>343</v>
      </c>
      <c r="E8" s="159" t="s">
        <v>344</v>
      </c>
      <c r="F8" s="158" t="s">
        <v>345</v>
      </c>
      <c r="G8" s="158" t="s">
        <v>342</v>
      </c>
      <c r="H8" s="158" t="s">
        <v>343</v>
      </c>
      <c r="I8" s="159" t="s">
        <v>346</v>
      </c>
      <c r="J8" s="158" t="s">
        <v>347</v>
      </c>
    </row>
    <row r="9" spans="1:10" x14ac:dyDescent="0.25">
      <c r="A9" s="158" t="s">
        <v>348</v>
      </c>
      <c r="B9" s="158" t="s">
        <v>349</v>
      </c>
      <c r="C9" s="158">
        <v>3</v>
      </c>
      <c r="D9" s="158">
        <v>4</v>
      </c>
      <c r="E9" s="158">
        <v>5</v>
      </c>
      <c r="F9" s="159">
        <v>6</v>
      </c>
      <c r="G9" s="158">
        <v>7</v>
      </c>
      <c r="H9" s="160">
        <v>8</v>
      </c>
      <c r="I9" s="160">
        <v>9</v>
      </c>
      <c r="J9" s="160">
        <v>10</v>
      </c>
    </row>
    <row r="10" spans="1:10" ht="14.65" customHeight="1" x14ac:dyDescent="0.25">
      <c r="A10" s="419" t="s">
        <v>350</v>
      </c>
      <c r="B10" s="419"/>
      <c r="C10" s="419"/>
      <c r="D10" s="419"/>
      <c r="E10" s="419"/>
      <c r="F10" s="419"/>
      <c r="G10" s="419"/>
      <c r="H10" s="419"/>
      <c r="I10" s="419"/>
      <c r="J10" s="419"/>
    </row>
    <row r="11" spans="1:10" ht="14.65" customHeight="1" x14ac:dyDescent="0.25">
      <c r="A11" s="420" t="s">
        <v>351</v>
      </c>
      <c r="B11" s="420"/>
      <c r="C11" s="420"/>
      <c r="D11" s="420"/>
      <c r="E11" s="420"/>
      <c r="F11" s="420"/>
      <c r="G11" s="420"/>
      <c r="H11" s="420"/>
      <c r="I11" s="420"/>
      <c r="J11" s="420"/>
    </row>
    <row r="12" spans="1:10" x14ac:dyDescent="0.25">
      <c r="A12" s="161" t="s">
        <v>233</v>
      </c>
      <c r="B12" s="162">
        <v>100</v>
      </c>
      <c r="C12" s="163"/>
      <c r="D12" s="163"/>
      <c r="E12" s="164"/>
      <c r="F12" s="165"/>
      <c r="G12" s="163"/>
      <c r="H12" s="163"/>
      <c r="I12" s="164"/>
      <c r="J12" s="166"/>
    </row>
    <row r="13" spans="1:10" x14ac:dyDescent="0.25">
      <c r="A13" s="167" t="s">
        <v>238</v>
      </c>
      <c r="B13" s="168">
        <v>110</v>
      </c>
      <c r="C13" s="169"/>
      <c r="D13" s="169"/>
      <c r="E13" s="170"/>
      <c r="F13" s="171"/>
      <c r="G13" s="172"/>
      <c r="H13" s="172"/>
      <c r="I13" s="170"/>
      <c r="J13" s="173"/>
    </row>
    <row r="14" spans="1:10" x14ac:dyDescent="0.25">
      <c r="A14" s="167" t="s">
        <v>234</v>
      </c>
      <c r="B14" s="168">
        <v>120</v>
      </c>
      <c r="C14" s="174"/>
      <c r="D14" s="174"/>
      <c r="E14" s="175"/>
      <c r="F14" s="176"/>
      <c r="G14" s="174"/>
      <c r="H14" s="174"/>
      <c r="I14" s="175"/>
      <c r="J14" s="177"/>
    </row>
    <row r="15" spans="1:10" ht="24" x14ac:dyDescent="0.25">
      <c r="A15" s="167" t="s">
        <v>235</v>
      </c>
      <c r="B15" s="168">
        <v>130</v>
      </c>
      <c r="C15" s="178"/>
      <c r="D15" s="178"/>
      <c r="E15" s="175"/>
      <c r="F15" s="176"/>
      <c r="G15" s="178"/>
      <c r="H15" s="178"/>
      <c r="I15" s="175"/>
      <c r="J15" s="177"/>
    </row>
    <row r="16" spans="1:10" x14ac:dyDescent="0.25">
      <c r="A16" s="167" t="s">
        <v>236</v>
      </c>
      <c r="B16" s="168">
        <v>140</v>
      </c>
      <c r="C16" s="178"/>
      <c r="D16" s="178"/>
      <c r="E16" s="170"/>
      <c r="F16" s="173"/>
      <c r="G16" s="178"/>
      <c r="H16" s="178"/>
      <c r="I16" s="170"/>
      <c r="J16" s="173"/>
    </row>
    <row r="17" spans="1:10" ht="36" x14ac:dyDescent="0.25">
      <c r="A17" s="179" t="s">
        <v>102</v>
      </c>
      <c r="B17" s="180">
        <v>1000</v>
      </c>
      <c r="C17" s="164"/>
      <c r="D17" s="164"/>
      <c r="E17" s="170"/>
      <c r="F17" s="173"/>
      <c r="G17" s="164"/>
      <c r="H17" s="164"/>
      <c r="I17" s="170"/>
      <c r="J17" s="173"/>
    </row>
    <row r="18" spans="1:10" ht="24" x14ac:dyDescent="0.25">
      <c r="A18" s="181" t="s">
        <v>35</v>
      </c>
      <c r="B18" s="151">
        <v>1010</v>
      </c>
      <c r="C18" s="182"/>
      <c r="D18" s="182"/>
      <c r="E18" s="164"/>
      <c r="F18" s="165"/>
      <c r="G18" s="182"/>
      <c r="H18" s="183"/>
      <c r="I18" s="170"/>
      <c r="J18" s="173"/>
    </row>
    <row r="19" spans="1:10" ht="24" x14ac:dyDescent="0.25">
      <c r="A19" s="181" t="s">
        <v>186</v>
      </c>
      <c r="B19" s="151">
        <v>1020</v>
      </c>
      <c r="C19" s="182"/>
      <c r="D19" s="182"/>
      <c r="E19" s="170"/>
      <c r="F19" s="171"/>
      <c r="G19" s="182"/>
      <c r="H19" s="183"/>
      <c r="I19" s="170"/>
      <c r="J19" s="173"/>
    </row>
    <row r="20" spans="1:10" ht="24" x14ac:dyDescent="0.25">
      <c r="A20" s="181" t="s">
        <v>352</v>
      </c>
      <c r="B20" s="151">
        <v>1030</v>
      </c>
      <c r="C20" s="182"/>
      <c r="D20" s="182"/>
      <c r="E20" s="170"/>
      <c r="F20" s="171"/>
      <c r="G20" s="182"/>
      <c r="H20" s="183"/>
      <c r="I20" s="170"/>
      <c r="J20" s="173"/>
    </row>
    <row r="21" spans="1:10" ht="24" x14ac:dyDescent="0.25">
      <c r="A21" s="181" t="s">
        <v>187</v>
      </c>
      <c r="B21" s="151">
        <v>1040</v>
      </c>
      <c r="C21" s="182"/>
      <c r="D21" s="182"/>
      <c r="E21" s="170"/>
      <c r="F21" s="171"/>
      <c r="G21" s="184"/>
      <c r="H21" s="183"/>
      <c r="I21" s="170"/>
      <c r="J21" s="173"/>
    </row>
    <row r="22" spans="1:10" x14ac:dyDescent="0.25">
      <c r="A22" s="185" t="s">
        <v>178</v>
      </c>
      <c r="B22" s="186" t="s">
        <v>240</v>
      </c>
      <c r="C22" s="182"/>
      <c r="D22" s="182"/>
      <c r="E22" s="170"/>
      <c r="F22" s="171"/>
      <c r="G22" s="184"/>
      <c r="H22" s="183"/>
      <c r="I22" s="170"/>
      <c r="J22" s="173"/>
    </row>
    <row r="23" spans="1:10" ht="24" x14ac:dyDescent="0.25">
      <c r="A23" s="187" t="s">
        <v>185</v>
      </c>
      <c r="B23" s="151">
        <v>1050</v>
      </c>
      <c r="C23" s="182"/>
      <c r="D23" s="182"/>
      <c r="E23" s="170"/>
      <c r="F23" s="171"/>
      <c r="G23" s="184"/>
      <c r="H23" s="183"/>
      <c r="I23" s="170"/>
      <c r="J23" s="173"/>
    </row>
    <row r="24" spans="1:10" x14ac:dyDescent="0.25">
      <c r="A24" s="188" t="s">
        <v>183</v>
      </c>
      <c r="B24" s="186">
        <v>1051</v>
      </c>
      <c r="C24" s="189"/>
      <c r="D24" s="189"/>
      <c r="E24" s="175"/>
      <c r="F24" s="176"/>
      <c r="G24" s="189"/>
      <c r="H24" s="190"/>
      <c r="I24" s="175"/>
      <c r="J24" s="177"/>
    </row>
    <row r="25" spans="1:10" ht="24" x14ac:dyDescent="0.25">
      <c r="A25" s="191" t="s">
        <v>184</v>
      </c>
      <c r="B25" s="186" t="s">
        <v>241</v>
      </c>
      <c r="C25" s="189"/>
      <c r="D25" s="189"/>
      <c r="E25" s="175"/>
      <c r="F25" s="176"/>
      <c r="G25" s="189"/>
      <c r="H25" s="189"/>
      <c r="I25" s="175"/>
      <c r="J25" s="177"/>
    </row>
    <row r="26" spans="1:10" ht="24" x14ac:dyDescent="0.25">
      <c r="A26" s="188" t="s">
        <v>181</v>
      </c>
      <c r="B26" s="186">
        <v>1052</v>
      </c>
      <c r="C26" s="182"/>
      <c r="D26" s="182"/>
      <c r="E26" s="175"/>
      <c r="F26" s="176"/>
      <c r="G26" s="189"/>
      <c r="H26" s="189"/>
      <c r="I26" s="175"/>
      <c r="J26" s="177"/>
    </row>
    <row r="27" spans="1:10" x14ac:dyDescent="0.25">
      <c r="A27" s="188" t="s">
        <v>178</v>
      </c>
      <c r="B27" s="186" t="s">
        <v>242</v>
      </c>
      <c r="C27" s="192"/>
      <c r="D27" s="193"/>
      <c r="E27" s="170"/>
      <c r="F27" s="173"/>
      <c r="G27" s="183"/>
      <c r="H27" s="183"/>
      <c r="I27" s="170"/>
      <c r="J27" s="173"/>
    </row>
    <row r="28" spans="1:10" x14ac:dyDescent="0.25">
      <c r="A28" s="181" t="s">
        <v>182</v>
      </c>
      <c r="B28" s="151">
        <v>1060</v>
      </c>
      <c r="C28" s="182"/>
      <c r="D28" s="182"/>
      <c r="E28" s="164"/>
      <c r="F28" s="165"/>
      <c r="G28" s="194"/>
      <c r="H28" s="193"/>
      <c r="I28" s="164"/>
      <c r="J28" s="166"/>
    </row>
    <row r="29" spans="1:10" x14ac:dyDescent="0.25">
      <c r="A29" s="181" t="s">
        <v>178</v>
      </c>
      <c r="B29" s="186" t="s">
        <v>243</v>
      </c>
      <c r="C29" s="182"/>
      <c r="D29" s="182"/>
      <c r="E29" s="170"/>
      <c r="F29" s="171"/>
      <c r="G29" s="183"/>
      <c r="H29" s="183"/>
      <c r="I29" s="170"/>
      <c r="J29" s="173"/>
    </row>
    <row r="30" spans="1:10" x14ac:dyDescent="0.25">
      <c r="A30" s="195" t="s">
        <v>36</v>
      </c>
      <c r="B30" s="151">
        <v>1070</v>
      </c>
      <c r="C30" s="182"/>
      <c r="D30" s="182"/>
      <c r="E30" s="170"/>
      <c r="F30" s="171"/>
      <c r="G30" s="183"/>
      <c r="H30" s="183"/>
      <c r="I30" s="170"/>
      <c r="J30" s="173"/>
    </row>
    <row r="31" spans="1:10" x14ac:dyDescent="0.25">
      <c r="A31" s="196" t="s">
        <v>37</v>
      </c>
      <c r="B31" s="186">
        <v>1071</v>
      </c>
      <c r="C31" s="182"/>
      <c r="D31" s="182"/>
      <c r="E31" s="170"/>
      <c r="F31" s="171"/>
      <c r="G31" s="183"/>
      <c r="H31" s="183"/>
      <c r="I31" s="170"/>
      <c r="J31" s="173"/>
    </row>
    <row r="32" spans="1:10" x14ac:dyDescent="0.25">
      <c r="A32" s="196" t="s">
        <v>38</v>
      </c>
      <c r="B32" s="186">
        <v>1072</v>
      </c>
      <c r="C32" s="182"/>
      <c r="D32" s="182"/>
      <c r="E32" s="170"/>
      <c r="F32" s="171"/>
      <c r="G32" s="183"/>
      <c r="H32" s="183"/>
      <c r="I32" s="170"/>
      <c r="J32" s="173"/>
    </row>
    <row r="33" spans="1:10" ht="24" x14ac:dyDescent="0.25">
      <c r="A33" s="196" t="s">
        <v>104</v>
      </c>
      <c r="B33" s="186">
        <v>1073</v>
      </c>
      <c r="C33" s="182"/>
      <c r="D33" s="182"/>
      <c r="E33" s="170"/>
      <c r="F33" s="171"/>
      <c r="G33" s="183"/>
      <c r="H33" s="183"/>
      <c r="I33" s="170"/>
      <c r="J33" s="173"/>
    </row>
    <row r="34" spans="1:10" x14ac:dyDescent="0.25">
      <c r="A34" s="197" t="s">
        <v>82</v>
      </c>
      <c r="B34" s="186">
        <v>1074</v>
      </c>
      <c r="C34" s="182"/>
      <c r="D34" s="182"/>
      <c r="E34" s="170"/>
      <c r="F34" s="171"/>
      <c r="G34" s="183"/>
      <c r="H34" s="183"/>
      <c r="I34" s="170"/>
      <c r="J34" s="173"/>
    </row>
    <row r="35" spans="1:10" ht="24" x14ac:dyDescent="0.25">
      <c r="A35" s="196" t="s">
        <v>42</v>
      </c>
      <c r="B35" s="186">
        <v>1075</v>
      </c>
      <c r="C35" s="182"/>
      <c r="D35" s="182"/>
      <c r="E35" s="170"/>
      <c r="F35" s="171"/>
      <c r="G35" s="183"/>
      <c r="H35" s="183"/>
      <c r="I35" s="170"/>
      <c r="J35" s="173"/>
    </row>
    <row r="36" spans="1:10" x14ac:dyDescent="0.25">
      <c r="A36" s="196" t="s">
        <v>39</v>
      </c>
      <c r="B36" s="186">
        <v>1076</v>
      </c>
      <c r="C36" s="182"/>
      <c r="D36" s="182"/>
      <c r="E36" s="170"/>
      <c r="F36" s="171"/>
      <c r="G36" s="183"/>
      <c r="H36" s="183"/>
      <c r="I36" s="170"/>
      <c r="J36" s="173"/>
    </row>
    <row r="37" spans="1:10" ht="14.65" customHeight="1" x14ac:dyDescent="0.25">
      <c r="A37" s="421" t="s">
        <v>107</v>
      </c>
      <c r="B37" s="421"/>
      <c r="C37" s="421"/>
      <c r="D37" s="421"/>
      <c r="E37" s="421"/>
      <c r="F37" s="421"/>
      <c r="G37" s="421"/>
      <c r="H37" s="421"/>
      <c r="I37" s="421"/>
      <c r="J37" s="421"/>
    </row>
    <row r="38" spans="1:10" ht="24" x14ac:dyDescent="0.25">
      <c r="A38" s="246" t="s">
        <v>43</v>
      </c>
      <c r="B38" s="247">
        <v>1100</v>
      </c>
      <c r="C38" s="248"/>
      <c r="D38" s="248"/>
      <c r="E38" s="249"/>
      <c r="F38" s="250"/>
      <c r="G38" s="251"/>
      <c r="H38" s="251"/>
      <c r="I38" s="249"/>
      <c r="J38" s="252"/>
    </row>
    <row r="39" spans="1:10" x14ac:dyDescent="0.25">
      <c r="A39" s="223" t="s">
        <v>291</v>
      </c>
      <c r="B39" s="108">
        <v>1110</v>
      </c>
      <c r="C39" s="170"/>
      <c r="D39" s="170"/>
      <c r="E39" s="170"/>
      <c r="F39" s="171"/>
      <c r="G39" s="170"/>
      <c r="H39" s="170"/>
      <c r="I39" s="170"/>
      <c r="J39" s="173"/>
    </row>
    <row r="40" spans="1:10" ht="25.5" x14ac:dyDescent="0.25">
      <c r="A40" s="224" t="s">
        <v>293</v>
      </c>
      <c r="B40" s="105">
        <v>1111</v>
      </c>
      <c r="C40" s="175"/>
      <c r="D40" s="175"/>
      <c r="E40" s="175"/>
      <c r="F40" s="176"/>
      <c r="G40" s="175"/>
      <c r="H40" s="175"/>
      <c r="I40" s="175"/>
      <c r="J40" s="177"/>
    </row>
    <row r="41" spans="1:10" x14ac:dyDescent="0.25">
      <c r="A41" s="224" t="s">
        <v>320</v>
      </c>
      <c r="B41" s="105" t="s">
        <v>319</v>
      </c>
      <c r="C41" s="199"/>
      <c r="D41" s="199"/>
      <c r="E41" s="199"/>
      <c r="F41" s="199"/>
      <c r="G41" s="199"/>
      <c r="H41" s="199"/>
      <c r="I41" s="199"/>
      <c r="J41" s="199"/>
    </row>
    <row r="42" spans="1:10" x14ac:dyDescent="0.25">
      <c r="A42" s="225" t="s">
        <v>84</v>
      </c>
      <c r="B42" s="105">
        <v>1112</v>
      </c>
      <c r="C42" s="164"/>
      <c r="D42" s="164"/>
      <c r="E42" s="164"/>
      <c r="F42" s="165"/>
      <c r="G42" s="164"/>
      <c r="H42" s="164"/>
      <c r="I42" s="164"/>
      <c r="J42" s="166"/>
    </row>
    <row r="43" spans="1:10" ht="26.25" x14ac:dyDescent="0.25">
      <c r="A43" s="226" t="s">
        <v>294</v>
      </c>
      <c r="B43" s="105">
        <v>1113</v>
      </c>
      <c r="C43" s="170"/>
      <c r="D43" s="170"/>
      <c r="E43" s="170"/>
      <c r="F43" s="171"/>
      <c r="G43" s="170"/>
      <c r="H43" s="170"/>
      <c r="I43" s="170"/>
      <c r="J43" s="173"/>
    </row>
    <row r="44" spans="1:10" ht="26.25" x14ac:dyDescent="0.25">
      <c r="A44" s="227" t="s">
        <v>321</v>
      </c>
      <c r="B44" s="105">
        <v>1114</v>
      </c>
      <c r="C44" s="170"/>
      <c r="D44" s="170"/>
      <c r="E44" s="170"/>
      <c r="F44" s="171"/>
      <c r="G44" s="170"/>
      <c r="H44" s="170"/>
      <c r="I44" s="170"/>
      <c r="J44" s="173"/>
    </row>
    <row r="45" spans="1:10" x14ac:dyDescent="0.25">
      <c r="A45" s="227" t="s">
        <v>323</v>
      </c>
      <c r="B45" s="105" t="s">
        <v>322</v>
      </c>
      <c r="C45" s="164"/>
      <c r="D45" s="164"/>
      <c r="E45" s="170"/>
      <c r="F45" s="171"/>
      <c r="G45" s="164"/>
      <c r="H45" s="164"/>
      <c r="I45" s="170"/>
      <c r="J45" s="173"/>
    </row>
    <row r="46" spans="1:10" ht="26.25" x14ac:dyDescent="0.25">
      <c r="A46" s="226" t="s">
        <v>295</v>
      </c>
      <c r="B46" s="105">
        <v>1115</v>
      </c>
      <c r="C46" s="182"/>
      <c r="D46" s="182"/>
      <c r="E46" s="170"/>
      <c r="F46" s="171"/>
      <c r="G46" s="184"/>
      <c r="H46" s="183"/>
      <c r="I46" s="170"/>
      <c r="J46" s="173"/>
    </row>
    <row r="47" spans="1:10" x14ac:dyDescent="0.25">
      <c r="A47" s="226" t="s">
        <v>296</v>
      </c>
      <c r="B47" s="105">
        <v>1116</v>
      </c>
      <c r="C47" s="182"/>
      <c r="D47" s="182"/>
      <c r="E47" s="170"/>
      <c r="F47" s="171"/>
      <c r="G47" s="184"/>
      <c r="H47" s="183"/>
      <c r="I47" s="170"/>
      <c r="J47" s="173"/>
    </row>
    <row r="48" spans="1:10" ht="26.25" x14ac:dyDescent="0.25">
      <c r="A48" s="228" t="s">
        <v>44</v>
      </c>
      <c r="B48" s="124">
        <v>1120</v>
      </c>
      <c r="C48" s="182"/>
      <c r="D48" s="182"/>
      <c r="E48" s="170"/>
      <c r="F48" s="171"/>
      <c r="G48" s="184"/>
      <c r="H48" s="183"/>
      <c r="I48" s="170"/>
      <c r="J48" s="173"/>
    </row>
    <row r="49" spans="1:10" x14ac:dyDescent="0.25">
      <c r="A49" s="229" t="s">
        <v>297</v>
      </c>
      <c r="B49" s="105">
        <v>1121</v>
      </c>
      <c r="C49" s="182"/>
      <c r="D49" s="182"/>
      <c r="E49" s="170"/>
      <c r="F49" s="171"/>
      <c r="G49" s="184"/>
      <c r="H49" s="183"/>
      <c r="I49" s="170"/>
      <c r="J49" s="173"/>
    </row>
    <row r="50" spans="1:10" x14ac:dyDescent="0.25">
      <c r="A50" s="227" t="s">
        <v>298</v>
      </c>
      <c r="B50" s="105"/>
      <c r="C50" s="182"/>
      <c r="D50" s="182"/>
      <c r="E50" s="170"/>
      <c r="F50" s="171"/>
      <c r="G50" s="184"/>
      <c r="H50" s="183"/>
      <c r="I50" s="170"/>
      <c r="J50" s="173"/>
    </row>
    <row r="51" spans="1:10" ht="26.25" x14ac:dyDescent="0.25">
      <c r="A51" s="229" t="s">
        <v>300</v>
      </c>
      <c r="B51" s="105">
        <v>1122</v>
      </c>
      <c r="C51" s="189"/>
      <c r="D51" s="189"/>
      <c r="E51" s="175"/>
      <c r="F51" s="176"/>
      <c r="G51" s="172"/>
      <c r="H51" s="190"/>
      <c r="I51" s="175"/>
      <c r="J51" s="177"/>
    </row>
    <row r="52" spans="1:10" x14ac:dyDescent="0.25">
      <c r="A52" s="227" t="s">
        <v>298</v>
      </c>
      <c r="B52" s="105"/>
      <c r="C52" s="199"/>
      <c r="D52" s="199"/>
      <c r="E52" s="199"/>
      <c r="F52" s="199"/>
      <c r="G52" s="199"/>
      <c r="H52" s="199"/>
      <c r="I52" s="199"/>
      <c r="J52" s="199"/>
    </row>
    <row r="53" spans="1:10" x14ac:dyDescent="0.25">
      <c r="A53" s="229" t="s">
        <v>45</v>
      </c>
      <c r="B53" s="105">
        <v>1123</v>
      </c>
      <c r="C53" s="201"/>
      <c r="D53" s="201"/>
      <c r="E53" s="164"/>
      <c r="F53" s="165"/>
      <c r="G53" s="201"/>
      <c r="H53" s="201"/>
      <c r="I53" s="164"/>
      <c r="J53" s="166"/>
    </row>
    <row r="54" spans="1:10" x14ac:dyDescent="0.25">
      <c r="A54" s="227" t="s">
        <v>298</v>
      </c>
      <c r="B54" s="105"/>
      <c r="C54" s="182"/>
      <c r="D54" s="182"/>
      <c r="E54" s="170"/>
      <c r="F54" s="171"/>
      <c r="G54" s="184"/>
      <c r="H54" s="183"/>
      <c r="I54" s="170"/>
      <c r="J54" s="173"/>
    </row>
    <row r="55" spans="1:10" ht="26.25" x14ac:dyDescent="0.25">
      <c r="A55" s="229" t="s">
        <v>301</v>
      </c>
      <c r="B55" s="105">
        <v>1124</v>
      </c>
      <c r="C55" s="182"/>
      <c r="D55" s="182"/>
      <c r="E55" s="170"/>
      <c r="F55" s="171"/>
      <c r="G55" s="184"/>
      <c r="H55" s="183"/>
      <c r="I55" s="170"/>
      <c r="J55" s="173"/>
    </row>
    <row r="56" spans="1:10" x14ac:dyDescent="0.25">
      <c r="A56" s="227" t="s">
        <v>298</v>
      </c>
      <c r="B56" s="105"/>
      <c r="C56" s="182"/>
      <c r="D56" s="182"/>
      <c r="E56" s="170"/>
      <c r="F56" s="171"/>
      <c r="G56" s="184"/>
      <c r="H56" s="183"/>
      <c r="I56" s="170"/>
      <c r="J56" s="173"/>
    </row>
    <row r="57" spans="1:10" x14ac:dyDescent="0.25">
      <c r="A57" s="229" t="s">
        <v>87</v>
      </c>
      <c r="B57" s="105">
        <v>1125</v>
      </c>
      <c r="C57" s="182"/>
      <c r="D57" s="182"/>
      <c r="E57" s="170"/>
      <c r="F57" s="171"/>
      <c r="G57" s="184"/>
      <c r="H57" s="183"/>
      <c r="I57" s="170"/>
      <c r="J57" s="173"/>
    </row>
    <row r="58" spans="1:10" x14ac:dyDescent="0.25">
      <c r="A58" s="227" t="s">
        <v>298</v>
      </c>
      <c r="B58" s="105"/>
      <c r="C58" s="170"/>
      <c r="D58" s="170"/>
      <c r="E58" s="170"/>
      <c r="F58" s="171"/>
      <c r="G58" s="170"/>
      <c r="H58" s="170"/>
      <c r="I58" s="170"/>
      <c r="J58" s="173"/>
    </row>
    <row r="59" spans="1:10" x14ac:dyDescent="0.25">
      <c r="A59" s="230" t="s">
        <v>324</v>
      </c>
      <c r="B59" s="105">
        <v>1126</v>
      </c>
      <c r="C59" s="182"/>
      <c r="D59" s="182"/>
      <c r="E59" s="170"/>
      <c r="F59" s="171"/>
      <c r="G59" s="184"/>
      <c r="H59" s="183"/>
      <c r="I59" s="170"/>
      <c r="J59" s="173"/>
    </row>
    <row r="60" spans="1:10" x14ac:dyDescent="0.25">
      <c r="A60" s="227" t="s">
        <v>298</v>
      </c>
      <c r="B60" s="105"/>
      <c r="C60" s="182"/>
      <c r="D60" s="182"/>
      <c r="E60" s="170"/>
      <c r="F60" s="171"/>
      <c r="G60" s="184"/>
      <c r="H60" s="183"/>
      <c r="I60" s="170"/>
      <c r="J60" s="173"/>
    </row>
    <row r="61" spans="1:10" x14ac:dyDescent="0.25">
      <c r="A61" s="231" t="s">
        <v>302</v>
      </c>
      <c r="B61" s="124">
        <v>1130</v>
      </c>
      <c r="C61" s="182"/>
      <c r="D61" s="182"/>
      <c r="E61" s="170"/>
      <c r="F61" s="171"/>
      <c r="G61" s="184"/>
      <c r="H61" s="183"/>
      <c r="I61" s="170"/>
      <c r="J61" s="173"/>
    </row>
    <row r="62" spans="1:10" ht="115.5" x14ac:dyDescent="0.25">
      <c r="A62" s="232" t="s">
        <v>303</v>
      </c>
      <c r="B62" s="238">
        <v>1131</v>
      </c>
      <c r="C62" s="182"/>
      <c r="D62" s="182"/>
      <c r="E62" s="170"/>
      <c r="F62" s="171"/>
      <c r="G62" s="184"/>
      <c r="H62" s="183"/>
      <c r="I62" s="170"/>
      <c r="J62" s="173"/>
    </row>
    <row r="63" spans="1:10" x14ac:dyDescent="0.25">
      <c r="A63" s="232" t="s">
        <v>329</v>
      </c>
      <c r="B63" s="238">
        <v>1132</v>
      </c>
      <c r="C63" s="202"/>
      <c r="D63" s="202"/>
      <c r="E63" s="202"/>
      <c r="F63" s="202"/>
      <c r="G63" s="202"/>
      <c r="H63" s="202"/>
      <c r="I63" s="202"/>
      <c r="J63" s="203"/>
    </row>
    <row r="64" spans="1:10" x14ac:dyDescent="0.25">
      <c r="A64" s="232" t="s">
        <v>304</v>
      </c>
      <c r="B64" s="238">
        <v>1133</v>
      </c>
      <c r="C64" s="170"/>
      <c r="D64" s="170"/>
      <c r="E64" s="170"/>
      <c r="F64" s="171"/>
      <c r="G64" s="170"/>
      <c r="H64" s="170"/>
      <c r="I64" s="170"/>
      <c r="J64" s="173"/>
    </row>
    <row r="65" spans="1:10" x14ac:dyDescent="0.25">
      <c r="A65" s="120" t="s">
        <v>305</v>
      </c>
      <c r="B65" s="238">
        <v>1134</v>
      </c>
      <c r="C65" s="170"/>
      <c r="D65" s="170"/>
      <c r="E65" s="170"/>
      <c r="F65" s="171"/>
      <c r="G65" s="170"/>
      <c r="H65" s="170"/>
      <c r="I65" s="170"/>
      <c r="J65" s="173"/>
    </row>
    <row r="66" spans="1:10" x14ac:dyDescent="0.25">
      <c r="A66" s="21" t="s">
        <v>326</v>
      </c>
      <c r="B66" s="238">
        <v>1135</v>
      </c>
      <c r="C66" s="170"/>
      <c r="D66" s="170"/>
      <c r="E66" s="170"/>
      <c r="F66" s="171"/>
      <c r="G66" s="170"/>
      <c r="H66" s="170"/>
      <c r="I66" s="170"/>
      <c r="J66" s="173"/>
    </row>
    <row r="67" spans="1:10" x14ac:dyDescent="0.25">
      <c r="A67" s="232" t="s">
        <v>327</v>
      </c>
      <c r="B67" s="238">
        <v>1136</v>
      </c>
      <c r="C67" s="170"/>
      <c r="D67" s="170"/>
      <c r="E67" s="170"/>
      <c r="F67" s="171"/>
      <c r="G67" s="170"/>
      <c r="H67" s="170"/>
      <c r="I67" s="170"/>
      <c r="J67" s="173"/>
    </row>
    <row r="68" spans="1:10" x14ac:dyDescent="0.25">
      <c r="A68" s="120" t="s">
        <v>328</v>
      </c>
      <c r="B68" s="238">
        <v>1137</v>
      </c>
      <c r="C68" s="170"/>
      <c r="D68" s="170"/>
      <c r="E68" s="170"/>
      <c r="F68" s="171"/>
      <c r="G68" s="170"/>
      <c r="H68" s="170"/>
      <c r="I68" s="170"/>
      <c r="J68" s="173"/>
    </row>
    <row r="69" spans="1:10" x14ac:dyDescent="0.25">
      <c r="A69" s="21" t="s">
        <v>306</v>
      </c>
      <c r="B69" s="238">
        <v>1138</v>
      </c>
      <c r="C69" s="170"/>
      <c r="D69" s="170"/>
      <c r="E69" s="170"/>
      <c r="F69" s="171"/>
      <c r="G69" s="170"/>
      <c r="H69" s="170"/>
      <c r="I69" s="170"/>
      <c r="J69" s="173"/>
    </row>
    <row r="70" spans="1:10" x14ac:dyDescent="0.25">
      <c r="A70" s="228" t="s">
        <v>46</v>
      </c>
      <c r="B70" s="124">
        <v>1140</v>
      </c>
      <c r="C70" s="170"/>
      <c r="D70" s="170"/>
      <c r="E70" s="170"/>
      <c r="F70" s="171"/>
      <c r="G70" s="170"/>
      <c r="H70" s="170"/>
      <c r="I70" s="170"/>
      <c r="J70" s="173"/>
    </row>
    <row r="71" spans="1:10" x14ac:dyDescent="0.25">
      <c r="A71" s="228" t="s">
        <v>47</v>
      </c>
      <c r="B71" s="124">
        <v>1150</v>
      </c>
      <c r="C71" s="170"/>
      <c r="D71" s="170"/>
      <c r="E71" s="170"/>
      <c r="F71" s="171"/>
      <c r="G71" s="170"/>
      <c r="H71" s="170"/>
      <c r="I71" s="170"/>
      <c r="J71" s="173"/>
    </row>
    <row r="72" spans="1:10" x14ac:dyDescent="0.25">
      <c r="A72" s="243" t="s">
        <v>180</v>
      </c>
      <c r="B72" s="244">
        <v>1300</v>
      </c>
      <c r="C72" s="245"/>
      <c r="D72" s="245"/>
      <c r="E72" s="245"/>
      <c r="F72" s="245"/>
      <c r="G72" s="245"/>
      <c r="H72" s="245"/>
      <c r="I72" s="245"/>
      <c r="J72" s="245"/>
    </row>
    <row r="73" spans="1:10" x14ac:dyDescent="0.25">
      <c r="A73" s="223" t="s">
        <v>308</v>
      </c>
      <c r="B73" s="124">
        <v>1310</v>
      </c>
      <c r="C73" s="170"/>
      <c r="D73" s="170"/>
      <c r="E73" s="170"/>
      <c r="F73" s="171"/>
      <c r="G73" s="170"/>
      <c r="H73" s="170"/>
      <c r="I73" s="170"/>
      <c r="J73" s="173"/>
    </row>
    <row r="74" spans="1:10" ht="51" x14ac:dyDescent="0.25">
      <c r="A74" s="21" t="s">
        <v>310</v>
      </c>
      <c r="B74" s="105">
        <v>1311</v>
      </c>
      <c r="C74" s="192"/>
      <c r="D74" s="192"/>
      <c r="E74" s="170"/>
      <c r="F74" s="171"/>
      <c r="G74" s="193"/>
      <c r="H74" s="193"/>
      <c r="I74" s="170"/>
      <c r="J74" s="173"/>
    </row>
    <row r="75" spans="1:10" ht="39" x14ac:dyDescent="0.25">
      <c r="A75" s="232" t="s">
        <v>311</v>
      </c>
      <c r="B75" s="105">
        <v>1312</v>
      </c>
      <c r="C75" s="182"/>
      <c r="D75" s="182"/>
      <c r="E75" s="170"/>
      <c r="F75" s="171"/>
      <c r="G75" s="184"/>
      <c r="H75" s="184"/>
      <c r="I75" s="170"/>
      <c r="J75" s="173"/>
    </row>
    <row r="76" spans="1:10" ht="26.25" x14ac:dyDescent="0.25">
      <c r="A76" s="235" t="s">
        <v>330</v>
      </c>
      <c r="B76" s="105">
        <v>1313</v>
      </c>
      <c r="C76" s="182"/>
      <c r="D76" s="182"/>
      <c r="E76" s="170"/>
      <c r="F76" s="171"/>
      <c r="G76" s="184"/>
      <c r="H76" s="183"/>
      <c r="I76" s="170"/>
      <c r="J76" s="173"/>
    </row>
    <row r="77" spans="1:10" x14ac:dyDescent="0.25">
      <c r="A77" s="227" t="s">
        <v>323</v>
      </c>
      <c r="B77" s="105" t="s">
        <v>331</v>
      </c>
      <c r="C77" s="182"/>
      <c r="D77" s="182"/>
      <c r="E77" s="170"/>
      <c r="F77" s="171"/>
      <c r="G77" s="184"/>
      <c r="H77" s="184"/>
      <c r="I77" s="170"/>
      <c r="J77" s="173"/>
    </row>
    <row r="78" spans="1:10" x14ac:dyDescent="0.25">
      <c r="A78" s="231" t="s">
        <v>302</v>
      </c>
      <c r="B78" s="124">
        <v>1320</v>
      </c>
      <c r="C78" s="189"/>
      <c r="D78" s="189"/>
      <c r="E78" s="170"/>
      <c r="F78" s="171"/>
      <c r="G78" s="172"/>
      <c r="H78" s="172"/>
      <c r="I78" s="170"/>
      <c r="J78" s="173"/>
    </row>
    <row r="79" spans="1:10" x14ac:dyDescent="0.25">
      <c r="A79" s="236" t="s">
        <v>329</v>
      </c>
      <c r="B79" s="105">
        <v>1321</v>
      </c>
      <c r="C79" s="182"/>
      <c r="D79" s="182"/>
      <c r="E79" s="170"/>
      <c r="F79" s="171"/>
      <c r="G79" s="182"/>
      <c r="H79" s="183"/>
      <c r="I79" s="170"/>
      <c r="J79" s="173"/>
    </row>
    <row r="80" spans="1:10" x14ac:dyDescent="0.25">
      <c r="A80" s="229" t="s">
        <v>48</v>
      </c>
      <c r="B80" s="105">
        <v>1322</v>
      </c>
      <c r="C80" s="207"/>
      <c r="D80" s="207"/>
      <c r="E80" s="207"/>
      <c r="F80" s="207"/>
      <c r="G80" s="207"/>
      <c r="H80" s="207"/>
      <c r="I80" s="207"/>
      <c r="J80" s="208"/>
    </row>
    <row r="81" spans="1:10" x14ac:dyDescent="0.25">
      <c r="A81" s="229" t="s">
        <v>49</v>
      </c>
      <c r="B81" s="105">
        <v>1323</v>
      </c>
      <c r="C81" s="209"/>
      <c r="D81" s="209"/>
      <c r="E81" s="209"/>
      <c r="F81" s="209"/>
      <c r="G81" s="209"/>
      <c r="H81" s="209"/>
      <c r="I81" s="209"/>
      <c r="J81" s="209"/>
    </row>
    <row r="82" spans="1:10" x14ac:dyDescent="0.25">
      <c r="A82" s="229" t="s">
        <v>51</v>
      </c>
      <c r="B82" s="105">
        <v>1324</v>
      </c>
      <c r="C82" s="209"/>
      <c r="D82" s="209"/>
      <c r="E82" s="209"/>
      <c r="F82" s="209"/>
      <c r="G82" s="209"/>
      <c r="H82" s="209"/>
      <c r="I82" s="209"/>
      <c r="J82" s="209"/>
    </row>
    <row r="83" spans="1:10" x14ac:dyDescent="0.25">
      <c r="A83" s="229" t="s">
        <v>50</v>
      </c>
      <c r="B83" s="105">
        <v>1325</v>
      </c>
      <c r="C83" s="182"/>
      <c r="D83" s="182"/>
      <c r="E83" s="182"/>
      <c r="F83" s="182"/>
      <c r="G83" s="182"/>
      <c r="H83" s="182"/>
      <c r="I83" s="182"/>
      <c r="J83" s="192"/>
    </row>
    <row r="84" spans="1:10" x14ac:dyDescent="0.25">
      <c r="A84" s="229" t="s">
        <v>306</v>
      </c>
      <c r="B84" s="105">
        <v>1326</v>
      </c>
      <c r="C84" s="182"/>
      <c r="D84" s="182"/>
      <c r="E84" s="182"/>
      <c r="F84" s="182"/>
      <c r="G84" s="184"/>
      <c r="H84" s="183"/>
      <c r="I84" s="183"/>
      <c r="J84" s="183"/>
    </row>
    <row r="85" spans="1:10" ht="26.25" x14ac:dyDescent="0.25">
      <c r="A85" s="231" t="s">
        <v>179</v>
      </c>
      <c r="B85" s="124">
        <v>1330</v>
      </c>
      <c r="C85" s="182"/>
      <c r="D85" s="182"/>
      <c r="E85" s="182"/>
      <c r="F85" s="182"/>
      <c r="G85" s="184"/>
      <c r="H85" s="183"/>
      <c r="I85" s="183"/>
      <c r="J85" s="183"/>
    </row>
    <row r="86" spans="1:10" x14ac:dyDescent="0.25">
      <c r="A86" s="228" t="s">
        <v>46</v>
      </c>
      <c r="B86" s="124">
        <v>1340</v>
      </c>
      <c r="C86" s="189"/>
      <c r="D86" s="189"/>
      <c r="E86" s="189"/>
      <c r="F86" s="189"/>
      <c r="G86" s="172"/>
      <c r="H86" s="190"/>
      <c r="I86" s="190"/>
      <c r="J86" s="190"/>
    </row>
    <row r="87" spans="1:10" x14ac:dyDescent="0.25">
      <c r="A87" s="228" t="s">
        <v>47</v>
      </c>
      <c r="B87" s="124">
        <v>1350</v>
      </c>
      <c r="C87" s="170"/>
      <c r="D87" s="170"/>
      <c r="E87" s="170"/>
      <c r="F87" s="170"/>
      <c r="G87" s="170"/>
      <c r="H87" s="204"/>
      <c r="I87" s="204"/>
      <c r="J87" s="204"/>
    </row>
    <row r="88" spans="1:10" x14ac:dyDescent="0.25">
      <c r="A88" s="422" t="s">
        <v>52</v>
      </c>
      <c r="B88" s="422"/>
      <c r="C88" s="422"/>
      <c r="D88" s="422"/>
      <c r="E88" s="422"/>
      <c r="F88" s="422"/>
      <c r="G88" s="422"/>
      <c r="H88" s="422"/>
      <c r="I88" s="422"/>
      <c r="J88" s="422"/>
    </row>
    <row r="89" spans="1:10" ht="26.25" x14ac:dyDescent="0.25">
      <c r="A89" s="232" t="s">
        <v>53</v>
      </c>
      <c r="B89" s="107">
        <v>2000</v>
      </c>
      <c r="C89" s="121">
        <f>C63+C82</f>
        <v>0</v>
      </c>
      <c r="D89" s="121">
        <f>D63+D82</f>
        <v>0</v>
      </c>
      <c r="E89" s="121">
        <f>F89+G89+H89+I89</f>
        <v>0</v>
      </c>
      <c r="F89" s="121">
        <f>F63+F82</f>
        <v>0</v>
      </c>
      <c r="G89" s="121">
        <f>G63+G82</f>
        <v>0</v>
      </c>
      <c r="H89" s="121">
        <f>H63+H82</f>
        <v>0</v>
      </c>
      <c r="I89" s="121">
        <f>I63+I82</f>
        <v>0</v>
      </c>
      <c r="J89" s="107" t="s">
        <v>312</v>
      </c>
    </row>
    <row r="90" spans="1:10" x14ac:dyDescent="0.25">
      <c r="A90" s="118" t="s">
        <v>83</v>
      </c>
      <c r="B90" s="105">
        <v>2001</v>
      </c>
      <c r="C90" s="119"/>
      <c r="D90" s="253"/>
      <c r="E90" s="121"/>
      <c r="F90" s="121"/>
      <c r="G90" s="121"/>
      <c r="H90" s="121"/>
      <c r="I90" s="121"/>
      <c r="J90" s="107"/>
    </row>
    <row r="91" spans="1:10" ht="26.25" x14ac:dyDescent="0.25">
      <c r="A91" s="232" t="s">
        <v>47</v>
      </c>
      <c r="B91" s="107">
        <v>2010</v>
      </c>
      <c r="C91" s="254">
        <f>C64+C83</f>
        <v>0</v>
      </c>
      <c r="D91" s="254">
        <f>D64+D83</f>
        <v>0</v>
      </c>
      <c r="E91" s="254">
        <f>F91+G91+H91+I91</f>
        <v>0</v>
      </c>
      <c r="F91" s="254">
        <f>F64+F83</f>
        <v>0</v>
      </c>
      <c r="G91" s="107">
        <f>G64+G83</f>
        <v>0</v>
      </c>
      <c r="H91" s="107">
        <f>H64+H83</f>
        <v>0</v>
      </c>
      <c r="I91" s="107">
        <f>I64+I83</f>
        <v>0</v>
      </c>
      <c r="J91" s="107" t="s">
        <v>313</v>
      </c>
    </row>
    <row r="92" spans="1:10" x14ac:dyDescent="0.25">
      <c r="A92" s="118" t="s">
        <v>83</v>
      </c>
      <c r="B92" s="112">
        <v>2011</v>
      </c>
      <c r="C92" s="113"/>
      <c r="D92" s="255"/>
      <c r="E92" s="107"/>
      <c r="F92" s="114"/>
      <c r="G92" s="256"/>
      <c r="H92" s="256"/>
      <c r="I92" s="256"/>
      <c r="J92" s="107"/>
    </row>
    <row r="93" spans="1:10" ht="26.25" x14ac:dyDescent="0.25">
      <c r="A93" s="232" t="s">
        <v>54</v>
      </c>
      <c r="B93" s="256">
        <v>2020</v>
      </c>
      <c r="C93" s="114">
        <f>C32+C69</f>
        <v>0</v>
      </c>
      <c r="D93" s="114">
        <f>D32+D69</f>
        <v>0</v>
      </c>
      <c r="E93" s="114">
        <f>F93+G93+H93+I93</f>
        <v>0</v>
      </c>
      <c r="F93" s="114">
        <f>F32+F69</f>
        <v>0</v>
      </c>
      <c r="G93" s="114">
        <f>G32+G69</f>
        <v>0</v>
      </c>
      <c r="H93" s="114">
        <f>H32+H69</f>
        <v>0</v>
      </c>
      <c r="I93" s="114">
        <f>I32+I69</f>
        <v>0</v>
      </c>
      <c r="J93" s="107" t="s">
        <v>314</v>
      </c>
    </row>
    <row r="94" spans="1:10" x14ac:dyDescent="0.25">
      <c r="A94" s="118" t="s">
        <v>83</v>
      </c>
      <c r="B94" s="112">
        <v>2021</v>
      </c>
      <c r="C94" s="113"/>
      <c r="D94" s="256"/>
      <c r="E94" s="121"/>
      <c r="F94" s="114"/>
      <c r="G94" s="114"/>
      <c r="H94" s="114"/>
      <c r="I94" s="114"/>
      <c r="J94" s="107"/>
    </row>
    <row r="95" spans="1:10" ht="26.25" x14ac:dyDescent="0.25">
      <c r="A95" s="232" t="s">
        <v>179</v>
      </c>
      <c r="B95" s="256">
        <v>2030</v>
      </c>
      <c r="C95" s="114">
        <f>C41+C81</f>
        <v>0</v>
      </c>
      <c r="D95" s="114">
        <f>D41+D81</f>
        <v>0</v>
      </c>
      <c r="E95" s="114">
        <f>F95+G95+H95+I95</f>
        <v>0</v>
      </c>
      <c r="F95" s="114">
        <f>F41+F81</f>
        <v>0</v>
      </c>
      <c r="G95" s="114">
        <f>G41+G81</f>
        <v>0</v>
      </c>
      <c r="H95" s="114">
        <f>H41+H81</f>
        <v>0</v>
      </c>
      <c r="I95" s="114">
        <f>I41+I81</f>
        <v>0</v>
      </c>
      <c r="J95" s="107" t="s">
        <v>315</v>
      </c>
    </row>
    <row r="96" spans="1:10" x14ac:dyDescent="0.25">
      <c r="A96" s="118" t="s">
        <v>83</v>
      </c>
      <c r="B96" s="112">
        <v>2031</v>
      </c>
      <c r="C96" s="113"/>
      <c r="D96" s="255"/>
      <c r="E96" s="257"/>
      <c r="F96" s="258"/>
      <c r="G96" s="258"/>
      <c r="H96" s="258"/>
      <c r="I96" s="258"/>
      <c r="J96" s="107"/>
    </row>
    <row r="97" spans="1:10" ht="26.25" x14ac:dyDescent="0.25">
      <c r="A97" s="232" t="s">
        <v>55</v>
      </c>
      <c r="B97" s="256">
        <v>2040</v>
      </c>
      <c r="C97" s="114">
        <f>C54+C74</f>
        <v>0</v>
      </c>
      <c r="D97" s="114">
        <f>D54+D74</f>
        <v>0</v>
      </c>
      <c r="E97" s="114">
        <f>F97+G97+H97+I97</f>
        <v>0</v>
      </c>
      <c r="F97" s="114">
        <f>F54+F74</f>
        <v>0</v>
      </c>
      <c r="G97" s="114">
        <f>G54+G74</f>
        <v>0</v>
      </c>
      <c r="H97" s="114">
        <f>H54+H74</f>
        <v>0</v>
      </c>
      <c r="I97" s="114">
        <f>I54+I74</f>
        <v>0</v>
      </c>
      <c r="J97" s="107" t="s">
        <v>316</v>
      </c>
    </row>
    <row r="98" spans="1:10" x14ac:dyDescent="0.25">
      <c r="A98" s="118" t="s">
        <v>83</v>
      </c>
      <c r="B98" s="112">
        <v>2041</v>
      </c>
      <c r="C98" s="113"/>
      <c r="D98" s="256"/>
      <c r="E98" s="121"/>
      <c r="F98" s="114"/>
      <c r="G98" s="256"/>
      <c r="H98" s="256"/>
      <c r="I98" s="256"/>
      <c r="J98" s="107"/>
    </row>
    <row r="99" spans="1:10" ht="26.25" x14ac:dyDescent="0.25">
      <c r="A99" s="228" t="s">
        <v>317</v>
      </c>
      <c r="B99" s="108">
        <v>2060</v>
      </c>
      <c r="C99" s="110">
        <f t="shared" ref="C99:I99" si="0">C89+C91+C93+C95+C97</f>
        <v>0</v>
      </c>
      <c r="D99" s="110">
        <f t="shared" si="0"/>
        <v>0</v>
      </c>
      <c r="E99" s="110">
        <f t="shared" si="0"/>
        <v>0</v>
      </c>
      <c r="F99" s="110">
        <f t="shared" si="0"/>
        <v>0</v>
      </c>
      <c r="G99" s="108">
        <f t="shared" si="0"/>
        <v>0</v>
      </c>
      <c r="H99" s="108">
        <f t="shared" si="0"/>
        <v>0</v>
      </c>
      <c r="I99" s="110">
        <f t="shared" si="0"/>
        <v>0</v>
      </c>
      <c r="J99" s="107"/>
    </row>
    <row r="100" spans="1:10" x14ac:dyDescent="0.25">
      <c r="A100" s="422" t="s">
        <v>56</v>
      </c>
      <c r="B100" s="422"/>
      <c r="C100" s="422"/>
      <c r="D100" s="422"/>
      <c r="E100" s="422"/>
      <c r="F100" s="422"/>
      <c r="G100" s="422"/>
      <c r="H100" s="422"/>
      <c r="I100" s="422"/>
      <c r="J100" s="422"/>
    </row>
    <row r="101" spans="1:10" ht="24" x14ac:dyDescent="0.25">
      <c r="A101" s="179" t="s">
        <v>57</v>
      </c>
      <c r="B101" s="212">
        <v>3000</v>
      </c>
      <c r="C101" s="210"/>
      <c r="D101" s="210"/>
      <c r="E101" s="210"/>
      <c r="F101" s="210"/>
      <c r="G101" s="210"/>
      <c r="H101" s="210"/>
      <c r="I101" s="210"/>
      <c r="J101" s="210"/>
    </row>
    <row r="102" spans="1:10" ht="24" x14ac:dyDescent="0.25">
      <c r="A102" s="213" t="s">
        <v>58</v>
      </c>
      <c r="B102" s="211">
        <v>3001</v>
      </c>
      <c r="C102" s="210"/>
      <c r="D102" s="210"/>
      <c r="E102" s="210"/>
      <c r="F102" s="210"/>
      <c r="G102" s="210"/>
      <c r="H102" s="210"/>
      <c r="I102" s="210"/>
      <c r="J102" s="210"/>
    </row>
    <row r="103" spans="1:10" ht="24" x14ac:dyDescent="0.25">
      <c r="A103" s="213" t="s">
        <v>248</v>
      </c>
      <c r="B103" s="211">
        <v>3002</v>
      </c>
      <c r="C103" s="210"/>
      <c r="D103" s="210"/>
      <c r="E103" s="210"/>
      <c r="F103" s="210"/>
      <c r="G103" s="210"/>
      <c r="H103" s="210"/>
      <c r="I103" s="210"/>
      <c r="J103" s="210"/>
    </row>
    <row r="104" spans="1:10" ht="24" x14ac:dyDescent="0.25">
      <c r="A104" s="179" t="s">
        <v>59</v>
      </c>
      <c r="B104" s="212">
        <v>3100</v>
      </c>
      <c r="C104" s="210"/>
      <c r="D104" s="210"/>
      <c r="E104" s="210"/>
      <c r="F104" s="210"/>
      <c r="G104" s="210"/>
      <c r="H104" s="210"/>
      <c r="I104" s="210"/>
      <c r="J104" s="210"/>
    </row>
    <row r="105" spans="1:10" x14ac:dyDescent="0.25">
      <c r="A105" s="181" t="s">
        <v>60</v>
      </c>
      <c r="B105" s="200">
        <v>3110</v>
      </c>
      <c r="C105" s="210"/>
      <c r="D105" s="210"/>
      <c r="E105" s="210"/>
      <c r="F105" s="210"/>
      <c r="G105" s="210"/>
      <c r="H105" s="210"/>
      <c r="I105" s="210"/>
      <c r="J105" s="210"/>
    </row>
    <row r="106" spans="1:10" x14ac:dyDescent="0.25">
      <c r="A106" s="191" t="s">
        <v>83</v>
      </c>
      <c r="B106" s="198">
        <v>3111</v>
      </c>
      <c r="C106" s="210"/>
      <c r="D106" s="210"/>
      <c r="E106" s="210"/>
      <c r="F106" s="210"/>
      <c r="G106" s="210"/>
      <c r="H106" s="210"/>
      <c r="I106" s="210"/>
      <c r="J106" s="210"/>
    </row>
    <row r="107" spans="1:10" x14ac:dyDescent="0.25">
      <c r="A107" s="187" t="s">
        <v>61</v>
      </c>
      <c r="B107" s="200">
        <v>3120</v>
      </c>
      <c r="C107" s="210"/>
      <c r="D107" s="210"/>
      <c r="E107" s="210"/>
      <c r="F107" s="210"/>
      <c r="G107" s="210"/>
      <c r="H107" s="210"/>
      <c r="I107" s="210"/>
      <c r="J107" s="210"/>
    </row>
    <row r="108" spans="1:10" x14ac:dyDescent="0.25">
      <c r="A108" s="191" t="s">
        <v>83</v>
      </c>
      <c r="B108" s="198">
        <v>3121</v>
      </c>
      <c r="C108" s="210"/>
      <c r="D108" s="210"/>
      <c r="E108" s="210"/>
      <c r="F108" s="210"/>
      <c r="G108" s="210"/>
      <c r="H108" s="210"/>
      <c r="I108" s="210"/>
      <c r="J108" s="210"/>
    </row>
    <row r="109" spans="1:10" ht="24" x14ac:dyDescent="0.25">
      <c r="A109" s="187" t="s">
        <v>62</v>
      </c>
      <c r="B109" s="200">
        <v>3130</v>
      </c>
      <c r="C109" s="210"/>
      <c r="D109" s="210"/>
      <c r="E109" s="210"/>
      <c r="F109" s="210"/>
      <c r="G109" s="210"/>
      <c r="H109" s="210"/>
      <c r="I109" s="210"/>
      <c r="J109" s="210"/>
    </row>
    <row r="110" spans="1:10" x14ac:dyDescent="0.25">
      <c r="A110" s="191" t="s">
        <v>83</v>
      </c>
      <c r="B110" s="198">
        <v>3131</v>
      </c>
      <c r="C110" s="210"/>
      <c r="D110" s="210"/>
      <c r="E110" s="210"/>
      <c r="F110" s="210"/>
      <c r="G110" s="210"/>
      <c r="H110" s="210"/>
      <c r="I110" s="210"/>
      <c r="J110" s="210"/>
    </row>
    <row r="111" spans="1:10" ht="24" x14ac:dyDescent="0.25">
      <c r="A111" s="187" t="s">
        <v>63</v>
      </c>
      <c r="B111" s="200">
        <v>3140</v>
      </c>
      <c r="C111" s="210"/>
      <c r="D111" s="210"/>
      <c r="E111" s="210"/>
      <c r="F111" s="210"/>
      <c r="G111" s="210"/>
      <c r="H111" s="210"/>
      <c r="I111" s="210"/>
      <c r="J111" s="210"/>
    </row>
    <row r="112" spans="1:10" x14ac:dyDescent="0.25">
      <c r="A112" s="191" t="s">
        <v>83</v>
      </c>
      <c r="B112" s="198">
        <v>3141</v>
      </c>
      <c r="C112" s="210"/>
      <c r="D112" s="210"/>
      <c r="E112" s="210"/>
      <c r="F112" s="210"/>
      <c r="G112" s="210"/>
      <c r="H112" s="210"/>
      <c r="I112" s="210"/>
      <c r="J112" s="210"/>
    </row>
    <row r="113" spans="1:10" ht="36" x14ac:dyDescent="0.25">
      <c r="A113" s="187" t="s">
        <v>64</v>
      </c>
      <c r="B113" s="200">
        <v>3150</v>
      </c>
      <c r="C113" s="210"/>
      <c r="D113" s="210"/>
      <c r="E113" s="210"/>
      <c r="F113" s="210"/>
      <c r="G113" s="210"/>
      <c r="H113" s="210"/>
      <c r="I113" s="210"/>
      <c r="J113" s="210"/>
    </row>
    <row r="114" spans="1:10" x14ac:dyDescent="0.25">
      <c r="A114" s="191" t="s">
        <v>83</v>
      </c>
      <c r="B114" s="198">
        <v>3151</v>
      </c>
      <c r="C114" s="210"/>
      <c r="D114" s="210"/>
      <c r="E114" s="210"/>
      <c r="F114" s="210"/>
      <c r="G114" s="210"/>
      <c r="H114" s="210"/>
      <c r="I114" s="210"/>
      <c r="J114" s="210"/>
    </row>
    <row r="115" spans="1:10" x14ac:dyDescent="0.25">
      <c r="A115" s="187" t="s">
        <v>65</v>
      </c>
      <c r="B115" s="200">
        <v>3160</v>
      </c>
      <c r="C115" s="210"/>
      <c r="D115" s="210"/>
      <c r="E115" s="210"/>
      <c r="F115" s="210"/>
      <c r="G115" s="210"/>
      <c r="H115" s="210"/>
      <c r="I115" s="210"/>
      <c r="J115" s="210"/>
    </row>
    <row r="116" spans="1:10" x14ac:dyDescent="0.25">
      <c r="A116" s="214" t="s">
        <v>83</v>
      </c>
      <c r="B116" s="215">
        <v>3161</v>
      </c>
      <c r="C116" s="210"/>
      <c r="D116" s="210"/>
      <c r="E116" s="210"/>
      <c r="F116" s="210"/>
      <c r="G116" s="210"/>
      <c r="H116" s="210"/>
      <c r="I116" s="210"/>
      <c r="J116" s="210"/>
    </row>
    <row r="117" spans="1:10" x14ac:dyDescent="0.25">
      <c r="A117" s="422" t="s">
        <v>66</v>
      </c>
      <c r="B117" s="422"/>
      <c r="C117" s="422"/>
      <c r="D117" s="422"/>
      <c r="E117" s="422"/>
      <c r="F117" s="422"/>
      <c r="G117" s="422"/>
      <c r="H117" s="422"/>
      <c r="I117" s="422"/>
      <c r="J117" s="422"/>
    </row>
    <row r="118" spans="1:10" ht="24" x14ac:dyDescent="0.25">
      <c r="A118" s="179" t="s">
        <v>67</v>
      </c>
      <c r="B118" s="206">
        <v>4000</v>
      </c>
      <c r="C118" s="210"/>
      <c r="D118" s="210"/>
      <c r="E118" s="210"/>
      <c r="F118" s="210"/>
      <c r="G118" s="210"/>
      <c r="H118" s="210"/>
      <c r="I118" s="210"/>
      <c r="J118" s="210"/>
    </row>
    <row r="119" spans="1:10" x14ac:dyDescent="0.25">
      <c r="A119" s="216" t="s">
        <v>68</v>
      </c>
      <c r="B119" s="198">
        <v>4001</v>
      </c>
      <c r="C119" s="210"/>
      <c r="D119" s="210"/>
      <c r="E119" s="210"/>
      <c r="F119" s="210"/>
      <c r="G119" s="210"/>
      <c r="H119" s="210"/>
      <c r="I119" s="210"/>
      <c r="J119" s="210"/>
    </row>
    <row r="120" spans="1:10" x14ac:dyDescent="0.25">
      <c r="A120" s="216" t="s">
        <v>69</v>
      </c>
      <c r="B120" s="198">
        <v>4002</v>
      </c>
      <c r="C120" s="210"/>
      <c r="D120" s="210"/>
      <c r="E120" s="210"/>
      <c r="F120" s="210"/>
      <c r="G120" s="210"/>
      <c r="H120" s="210"/>
      <c r="I120" s="210"/>
      <c r="J120" s="210"/>
    </row>
    <row r="121" spans="1:10" x14ac:dyDescent="0.25">
      <c r="A121" s="216" t="s">
        <v>70</v>
      </c>
      <c r="B121" s="198">
        <v>4003</v>
      </c>
      <c r="C121" s="210"/>
      <c r="D121" s="210"/>
      <c r="E121" s="210"/>
      <c r="F121" s="210"/>
      <c r="G121" s="210"/>
      <c r="H121" s="210"/>
      <c r="I121" s="210"/>
      <c r="J121" s="210"/>
    </row>
    <row r="122" spans="1:10" x14ac:dyDescent="0.25">
      <c r="A122" s="181" t="s">
        <v>71</v>
      </c>
      <c r="B122" s="200">
        <v>4010</v>
      </c>
      <c r="C122" s="210"/>
      <c r="D122" s="210"/>
      <c r="E122" s="210"/>
      <c r="F122" s="210"/>
      <c r="G122" s="210"/>
      <c r="H122" s="210"/>
      <c r="I122" s="210"/>
      <c r="J122" s="210"/>
    </row>
    <row r="123" spans="1:10" ht="24" x14ac:dyDescent="0.25">
      <c r="A123" s="179" t="s">
        <v>72</v>
      </c>
      <c r="B123" s="206">
        <v>4020</v>
      </c>
      <c r="C123" s="210"/>
      <c r="D123" s="210"/>
      <c r="E123" s="210"/>
      <c r="F123" s="210"/>
      <c r="G123" s="210"/>
      <c r="H123" s="210"/>
      <c r="I123" s="210"/>
      <c r="J123" s="210"/>
    </row>
    <row r="124" spans="1:10" x14ac:dyDescent="0.25">
      <c r="A124" s="216" t="s">
        <v>68</v>
      </c>
      <c r="B124" s="198">
        <v>4021</v>
      </c>
      <c r="C124" s="210"/>
      <c r="D124" s="210"/>
      <c r="E124" s="210"/>
      <c r="F124" s="210"/>
      <c r="G124" s="210"/>
      <c r="H124" s="210"/>
      <c r="I124" s="210"/>
      <c r="J124" s="210"/>
    </row>
    <row r="125" spans="1:10" x14ac:dyDescent="0.25">
      <c r="A125" s="216" t="s">
        <v>69</v>
      </c>
      <c r="B125" s="198">
        <v>4022</v>
      </c>
      <c r="C125" s="210"/>
      <c r="D125" s="210"/>
      <c r="E125" s="210"/>
      <c r="F125" s="210"/>
      <c r="G125" s="210"/>
      <c r="H125" s="210"/>
      <c r="I125" s="210"/>
      <c r="J125" s="210"/>
    </row>
    <row r="126" spans="1:10" x14ac:dyDescent="0.25">
      <c r="A126" s="216" t="s">
        <v>70</v>
      </c>
      <c r="B126" s="198">
        <v>4023</v>
      </c>
      <c r="C126" s="210"/>
      <c r="D126" s="210"/>
      <c r="E126" s="210"/>
      <c r="F126" s="210"/>
      <c r="G126" s="210"/>
      <c r="H126" s="210"/>
      <c r="I126" s="210"/>
      <c r="J126" s="210"/>
    </row>
    <row r="127" spans="1:10" x14ac:dyDescent="0.25">
      <c r="A127" s="181" t="s">
        <v>73</v>
      </c>
      <c r="B127" s="200">
        <v>4030</v>
      </c>
      <c r="C127" s="210"/>
      <c r="D127" s="210"/>
      <c r="E127" s="210"/>
      <c r="F127" s="210"/>
      <c r="G127" s="210"/>
      <c r="H127" s="210"/>
      <c r="I127" s="210"/>
      <c r="J127" s="210"/>
    </row>
    <row r="128" spans="1:10" x14ac:dyDescent="0.25">
      <c r="A128" s="422" t="s">
        <v>108</v>
      </c>
      <c r="B128" s="422"/>
      <c r="C128" s="422"/>
      <c r="D128" s="422"/>
      <c r="E128" s="422"/>
      <c r="F128" s="422"/>
      <c r="G128" s="422"/>
      <c r="H128" s="422"/>
      <c r="I128" s="422"/>
      <c r="J128" s="422"/>
    </row>
    <row r="129" spans="1:10" ht="24" x14ac:dyDescent="0.25">
      <c r="A129" s="217" t="s">
        <v>247</v>
      </c>
      <c r="B129" s="206">
        <v>5000</v>
      </c>
      <c r="C129" s="210"/>
      <c r="D129" s="210"/>
      <c r="E129" s="210"/>
      <c r="F129" s="210"/>
      <c r="G129" s="210"/>
      <c r="H129" s="210"/>
      <c r="I129" s="210"/>
      <c r="J129" s="210"/>
    </row>
    <row r="130" spans="1:10" ht="24" x14ac:dyDescent="0.25">
      <c r="A130" s="217" t="s">
        <v>253</v>
      </c>
      <c r="B130" s="206">
        <v>5010</v>
      </c>
      <c r="C130" s="210"/>
      <c r="D130" s="210"/>
      <c r="E130" s="210"/>
      <c r="F130" s="210"/>
      <c r="G130" s="210"/>
      <c r="H130" s="210"/>
      <c r="I130" s="210"/>
      <c r="J130" s="210"/>
    </row>
    <row r="131" spans="1:10" x14ac:dyDescent="0.25">
      <c r="A131" s="181" t="s">
        <v>74</v>
      </c>
      <c r="B131" s="200">
        <v>5020</v>
      </c>
      <c r="C131" s="210"/>
      <c r="D131" s="210"/>
      <c r="E131" s="210"/>
      <c r="F131" s="210"/>
      <c r="G131" s="210"/>
      <c r="H131" s="210"/>
      <c r="I131" s="210"/>
      <c r="J131" s="210"/>
    </row>
    <row r="132" spans="1:10" ht="36" x14ac:dyDescent="0.25">
      <c r="A132" s="179" t="s">
        <v>88</v>
      </c>
      <c r="B132" s="206">
        <v>5030</v>
      </c>
      <c r="C132" s="210"/>
      <c r="D132" s="210"/>
      <c r="E132" s="210"/>
      <c r="F132" s="210"/>
      <c r="G132" s="210"/>
      <c r="H132" s="210"/>
      <c r="I132" s="210"/>
      <c r="J132" s="210"/>
    </row>
    <row r="133" spans="1:10" x14ac:dyDescent="0.25">
      <c r="A133" s="181" t="s">
        <v>89</v>
      </c>
      <c r="B133" s="200">
        <v>5040</v>
      </c>
      <c r="C133" s="210"/>
      <c r="D133" s="210"/>
      <c r="E133" s="210"/>
      <c r="F133" s="210"/>
      <c r="G133" s="210"/>
      <c r="H133" s="210"/>
      <c r="I133" s="210"/>
      <c r="J133" s="210"/>
    </row>
    <row r="134" spans="1:10" x14ac:dyDescent="0.25">
      <c r="A134" s="181" t="s">
        <v>90</v>
      </c>
      <c r="B134" s="200">
        <v>5050</v>
      </c>
      <c r="C134" s="210"/>
      <c r="D134" s="210"/>
      <c r="E134" s="210"/>
      <c r="F134" s="210"/>
      <c r="G134" s="210"/>
      <c r="H134" s="210"/>
      <c r="I134" s="210"/>
      <c r="J134" s="210"/>
    </row>
    <row r="135" spans="1:10" x14ac:dyDescent="0.25">
      <c r="A135" s="422" t="s">
        <v>105</v>
      </c>
      <c r="B135" s="422"/>
      <c r="C135" s="422"/>
      <c r="D135" s="422"/>
      <c r="E135" s="422"/>
      <c r="F135" s="422"/>
      <c r="G135" s="422"/>
      <c r="H135" s="422"/>
      <c r="I135" s="422"/>
      <c r="J135" s="422"/>
    </row>
    <row r="136" spans="1:10" ht="24" x14ac:dyDescent="0.25">
      <c r="A136" s="179" t="s">
        <v>91</v>
      </c>
      <c r="B136" s="179"/>
      <c r="C136" s="210"/>
      <c r="D136" s="210"/>
      <c r="E136" s="210"/>
      <c r="F136" s="210"/>
      <c r="G136" s="210"/>
      <c r="H136" s="210"/>
      <c r="I136" s="210"/>
      <c r="J136" s="210"/>
    </row>
    <row r="137" spans="1:10" ht="65.25" customHeight="1" x14ac:dyDescent="0.25">
      <c r="A137" s="187" t="s">
        <v>92</v>
      </c>
      <c r="B137" s="152">
        <v>6000</v>
      </c>
      <c r="C137" s="210"/>
      <c r="D137" s="210"/>
      <c r="E137" s="210"/>
      <c r="F137" s="210"/>
      <c r="G137" s="210"/>
      <c r="H137" s="210"/>
      <c r="I137" s="210"/>
      <c r="J137" s="210"/>
    </row>
    <row r="138" spans="1:10" x14ac:dyDescent="0.25">
      <c r="A138" s="188" t="s">
        <v>93</v>
      </c>
      <c r="B138" s="218">
        <v>6001</v>
      </c>
      <c r="C138" s="210"/>
      <c r="D138" s="210"/>
      <c r="E138" s="210"/>
      <c r="F138" s="210"/>
      <c r="G138" s="210"/>
      <c r="H138" s="210"/>
      <c r="I138" s="210"/>
      <c r="J138" s="210"/>
    </row>
    <row r="139" spans="1:10" x14ac:dyDescent="0.25">
      <c r="A139" s="188" t="s">
        <v>94</v>
      </c>
      <c r="B139" s="218">
        <v>6002</v>
      </c>
      <c r="C139" s="210"/>
      <c r="D139" s="210"/>
      <c r="E139" s="210"/>
      <c r="F139" s="210"/>
      <c r="G139" s="210"/>
      <c r="H139" s="210"/>
      <c r="I139" s="210"/>
      <c r="J139" s="210"/>
    </row>
    <row r="140" spans="1:10" x14ac:dyDescent="0.25">
      <c r="A140" s="188" t="s">
        <v>95</v>
      </c>
      <c r="B140" s="218">
        <v>6003</v>
      </c>
      <c r="C140" s="210"/>
      <c r="D140" s="210"/>
      <c r="E140" s="210"/>
      <c r="F140" s="210"/>
      <c r="G140" s="210"/>
      <c r="H140" s="210"/>
      <c r="I140" s="210"/>
      <c r="J140" s="210"/>
    </row>
    <row r="141" spans="1:10" ht="24.75" x14ac:dyDescent="0.25">
      <c r="A141" s="219" t="s">
        <v>97</v>
      </c>
      <c r="B141" s="218">
        <v>6004</v>
      </c>
      <c r="C141" s="210"/>
      <c r="D141" s="210"/>
      <c r="E141" s="210"/>
      <c r="F141" s="210"/>
      <c r="G141" s="210"/>
      <c r="H141" s="210"/>
      <c r="I141" s="210"/>
      <c r="J141" s="210"/>
    </row>
    <row r="142" spans="1:10" x14ac:dyDescent="0.25">
      <c r="A142" s="188" t="s">
        <v>98</v>
      </c>
      <c r="B142" s="218">
        <v>6005</v>
      </c>
      <c r="C142" s="210"/>
      <c r="D142" s="210"/>
      <c r="E142" s="210"/>
      <c r="F142" s="210"/>
      <c r="G142" s="210"/>
      <c r="H142" s="210"/>
      <c r="I142" s="210"/>
      <c r="J142" s="210"/>
    </row>
    <row r="143" spans="1:10" x14ac:dyDescent="0.25">
      <c r="A143" s="188" t="s">
        <v>96</v>
      </c>
      <c r="B143" s="218">
        <v>6006</v>
      </c>
      <c r="C143" s="210"/>
      <c r="D143" s="210"/>
      <c r="E143" s="210"/>
      <c r="F143" s="210"/>
      <c r="G143" s="210"/>
      <c r="H143" s="210"/>
      <c r="I143" s="210"/>
      <c r="J143" s="210"/>
    </row>
    <row r="144" spans="1:10" ht="24" x14ac:dyDescent="0.25">
      <c r="A144" s="187" t="s">
        <v>254</v>
      </c>
      <c r="B144" s="152">
        <v>6010</v>
      </c>
      <c r="C144" s="210"/>
      <c r="D144" s="210"/>
      <c r="E144" s="210"/>
      <c r="F144" s="210"/>
      <c r="G144" s="210"/>
      <c r="H144" s="210"/>
      <c r="I144" s="210"/>
      <c r="J144" s="210"/>
    </row>
    <row r="145" spans="1:10" x14ac:dyDescent="0.25">
      <c r="A145" s="188" t="s">
        <v>93</v>
      </c>
      <c r="B145" s="218">
        <v>6011</v>
      </c>
      <c r="C145" s="210"/>
      <c r="D145" s="210"/>
      <c r="E145" s="210"/>
      <c r="F145" s="210"/>
      <c r="G145" s="210"/>
      <c r="H145" s="210"/>
      <c r="I145" s="210"/>
      <c r="J145" s="210"/>
    </row>
    <row r="146" spans="1:10" x14ac:dyDescent="0.25">
      <c r="A146" s="188" t="s">
        <v>94</v>
      </c>
      <c r="B146" s="218">
        <v>6012</v>
      </c>
      <c r="C146" s="210"/>
      <c r="D146" s="210"/>
      <c r="E146" s="210"/>
      <c r="F146" s="210"/>
      <c r="G146" s="210"/>
      <c r="H146" s="210"/>
      <c r="I146" s="210"/>
      <c r="J146" s="210"/>
    </row>
    <row r="147" spans="1:10" x14ac:dyDescent="0.25">
      <c r="A147" s="188" t="s">
        <v>95</v>
      </c>
      <c r="B147" s="218">
        <v>6013</v>
      </c>
      <c r="C147" s="210"/>
      <c r="D147" s="210"/>
      <c r="E147" s="210"/>
      <c r="F147" s="210"/>
      <c r="G147" s="210"/>
      <c r="H147" s="210"/>
      <c r="I147" s="210"/>
      <c r="J147" s="210"/>
    </row>
    <row r="148" spans="1:10" ht="24.75" x14ac:dyDescent="0.25">
      <c r="A148" s="219" t="s">
        <v>97</v>
      </c>
      <c r="B148" s="218">
        <v>6014</v>
      </c>
      <c r="C148" s="210"/>
      <c r="D148" s="210"/>
      <c r="E148" s="210"/>
      <c r="F148" s="210"/>
      <c r="G148" s="210"/>
      <c r="H148" s="210"/>
      <c r="I148" s="210"/>
      <c r="J148" s="210"/>
    </row>
    <row r="149" spans="1:10" x14ac:dyDescent="0.25">
      <c r="A149" s="188" t="s">
        <v>98</v>
      </c>
      <c r="B149" s="218">
        <v>6015</v>
      </c>
      <c r="C149" s="210"/>
      <c r="D149" s="210"/>
      <c r="E149" s="210"/>
      <c r="F149" s="210"/>
      <c r="G149" s="210"/>
      <c r="H149" s="210"/>
      <c r="I149" s="210"/>
      <c r="J149" s="210"/>
    </row>
    <row r="150" spans="1:10" x14ac:dyDescent="0.25">
      <c r="A150" s="188" t="s">
        <v>96</v>
      </c>
      <c r="B150" s="218">
        <v>6016</v>
      </c>
      <c r="C150" s="210"/>
      <c r="D150" s="210"/>
      <c r="E150" s="210"/>
      <c r="F150" s="210"/>
      <c r="G150" s="210"/>
      <c r="H150" s="210"/>
      <c r="I150" s="210"/>
      <c r="J150" s="210"/>
    </row>
    <row r="151" spans="1:10" ht="48" x14ac:dyDescent="0.25">
      <c r="A151" s="187" t="s">
        <v>99</v>
      </c>
      <c r="B151" s="152">
        <v>6020</v>
      </c>
      <c r="C151" s="210"/>
      <c r="D151" s="210"/>
      <c r="E151" s="210"/>
      <c r="F151" s="210"/>
      <c r="G151" s="210"/>
      <c r="H151" s="210"/>
      <c r="I151" s="210"/>
      <c r="J151" s="210"/>
    </row>
    <row r="152" spans="1:10" x14ac:dyDescent="0.25">
      <c r="A152" s="188" t="s">
        <v>93</v>
      </c>
      <c r="B152" s="218">
        <v>6021</v>
      </c>
      <c r="C152" s="210"/>
      <c r="D152" s="210"/>
      <c r="E152" s="210"/>
      <c r="F152" s="210"/>
      <c r="G152" s="210"/>
      <c r="H152" s="210"/>
      <c r="I152" s="210"/>
      <c r="J152" s="210"/>
    </row>
    <row r="153" spans="1:10" x14ac:dyDescent="0.25">
      <c r="A153" s="188" t="s">
        <v>94</v>
      </c>
      <c r="B153" s="218">
        <v>6022</v>
      </c>
      <c r="C153" s="210"/>
      <c r="D153" s="210"/>
      <c r="E153" s="210"/>
      <c r="F153" s="210"/>
      <c r="G153" s="210"/>
      <c r="H153" s="210"/>
      <c r="I153" s="210"/>
      <c r="J153" s="210"/>
    </row>
    <row r="154" spans="1:10" x14ac:dyDescent="0.25">
      <c r="A154" s="188" t="s">
        <v>95</v>
      </c>
      <c r="B154" s="218">
        <v>6023</v>
      </c>
      <c r="C154" s="210"/>
      <c r="D154" s="210"/>
      <c r="E154" s="210"/>
      <c r="F154" s="210"/>
      <c r="G154" s="210"/>
      <c r="H154" s="210"/>
      <c r="I154" s="210"/>
      <c r="J154" s="210"/>
    </row>
    <row r="155" spans="1:10" ht="24.75" x14ac:dyDescent="0.25">
      <c r="A155" s="219" t="s">
        <v>97</v>
      </c>
      <c r="B155" s="218">
        <v>6024</v>
      </c>
      <c r="C155" s="210"/>
      <c r="D155" s="210"/>
      <c r="E155" s="210"/>
      <c r="F155" s="210"/>
      <c r="G155" s="210"/>
      <c r="H155" s="210"/>
      <c r="I155" s="210"/>
      <c r="J155" s="210"/>
    </row>
    <row r="156" spans="1:10" x14ac:dyDescent="0.25">
      <c r="A156" s="188" t="s">
        <v>98</v>
      </c>
      <c r="B156" s="218">
        <v>6025</v>
      </c>
      <c r="C156" s="210"/>
      <c r="D156" s="210"/>
      <c r="E156" s="210"/>
      <c r="F156" s="210"/>
      <c r="G156" s="210"/>
      <c r="H156" s="210"/>
      <c r="I156" s="210"/>
      <c r="J156" s="210"/>
    </row>
    <row r="157" spans="1:10" x14ac:dyDescent="0.25">
      <c r="A157" s="188" t="s">
        <v>96</v>
      </c>
      <c r="B157" s="218">
        <v>6026</v>
      </c>
      <c r="C157" s="210"/>
      <c r="D157" s="210"/>
      <c r="E157" s="210"/>
      <c r="F157" s="210"/>
      <c r="G157" s="210"/>
      <c r="H157" s="210"/>
      <c r="I157" s="210"/>
      <c r="J157" s="210"/>
    </row>
    <row r="158" spans="1:10" ht="24" x14ac:dyDescent="0.25">
      <c r="A158" s="181" t="s">
        <v>79</v>
      </c>
      <c r="B158" s="152">
        <v>6030</v>
      </c>
      <c r="C158" s="210"/>
      <c r="D158" s="210"/>
      <c r="E158" s="210"/>
      <c r="F158" s="210"/>
      <c r="G158" s="210"/>
      <c r="H158" s="210"/>
      <c r="I158" s="210"/>
      <c r="J158" s="210"/>
    </row>
    <row r="159" spans="1:10" x14ac:dyDescent="0.25">
      <c r="A159" s="179" t="s">
        <v>101</v>
      </c>
      <c r="B159" s="200"/>
      <c r="C159" s="210"/>
      <c r="D159" s="210"/>
      <c r="E159" s="210"/>
      <c r="F159" s="210"/>
      <c r="G159" s="210"/>
      <c r="H159" s="210"/>
      <c r="I159" s="210"/>
      <c r="J159" s="210"/>
    </row>
    <row r="160" spans="1:10" x14ac:dyDescent="0.25">
      <c r="A160" s="181" t="s">
        <v>85</v>
      </c>
      <c r="B160" s="200">
        <v>6070</v>
      </c>
      <c r="C160" s="210"/>
      <c r="D160" s="210"/>
      <c r="E160" s="210"/>
      <c r="F160" s="210"/>
      <c r="G160" s="210"/>
      <c r="H160" s="210"/>
      <c r="I160" s="210"/>
      <c r="J160" s="210"/>
    </row>
    <row r="161" spans="1:11" x14ac:dyDescent="0.25">
      <c r="A161" s="181" t="s">
        <v>86</v>
      </c>
      <c r="B161" s="200">
        <v>6080</v>
      </c>
      <c r="C161" s="210"/>
      <c r="D161" s="210"/>
      <c r="E161" s="210"/>
      <c r="F161" s="210"/>
      <c r="G161" s="210"/>
      <c r="H161" s="210"/>
      <c r="I161" s="210"/>
      <c r="J161" s="210"/>
    </row>
    <row r="162" spans="1:11" ht="30.75" customHeight="1" x14ac:dyDescent="0.25">
      <c r="A162" s="205" t="s">
        <v>353</v>
      </c>
      <c r="B162" s="200">
        <v>6090</v>
      </c>
      <c r="C162" s="210"/>
      <c r="D162" s="210"/>
      <c r="E162" s="210"/>
      <c r="F162" s="210"/>
      <c r="G162" s="210"/>
      <c r="H162" s="210"/>
      <c r="I162" s="210"/>
      <c r="J162" s="210"/>
    </row>
    <row r="163" spans="1:11" x14ac:dyDescent="0.25">
      <c r="A163" s="422" t="s">
        <v>354</v>
      </c>
      <c r="B163" s="422"/>
      <c r="C163" s="422"/>
      <c r="D163" s="422"/>
      <c r="E163" s="422"/>
      <c r="F163" s="422"/>
      <c r="G163" s="422"/>
      <c r="H163" s="422"/>
      <c r="I163" s="422"/>
      <c r="J163" s="422"/>
    </row>
    <row r="164" spans="1:11" ht="36" x14ac:dyDescent="0.25">
      <c r="A164" s="220" t="s">
        <v>355</v>
      </c>
      <c r="B164" s="200">
        <v>6100</v>
      </c>
      <c r="C164" s="210"/>
      <c r="D164" s="210"/>
      <c r="E164" s="221" t="s">
        <v>356</v>
      </c>
      <c r="F164" s="221" t="s">
        <v>356</v>
      </c>
      <c r="G164" s="210"/>
      <c r="H164" s="210"/>
      <c r="I164" s="221" t="s">
        <v>356</v>
      </c>
      <c r="J164" s="221" t="s">
        <v>356</v>
      </c>
      <c r="K164" s="222"/>
    </row>
    <row r="165" spans="1:11" ht="36" x14ac:dyDescent="0.25">
      <c r="A165" s="181" t="s">
        <v>357</v>
      </c>
      <c r="B165" s="200">
        <v>6110</v>
      </c>
      <c r="C165" s="210"/>
      <c r="D165" s="210"/>
      <c r="E165" s="221" t="s">
        <v>356</v>
      </c>
      <c r="F165" s="221" t="s">
        <v>356</v>
      </c>
      <c r="G165" s="210"/>
      <c r="H165" s="210"/>
      <c r="I165" s="221" t="s">
        <v>356</v>
      </c>
      <c r="J165" s="221" t="s">
        <v>356</v>
      </c>
      <c r="K165" s="222"/>
    </row>
    <row r="166" spans="1:11" ht="36" x14ac:dyDescent="0.25">
      <c r="A166" s="181" t="s">
        <v>358</v>
      </c>
      <c r="B166" s="200">
        <v>6120</v>
      </c>
      <c r="C166" s="210"/>
      <c r="D166" s="210"/>
      <c r="E166" s="221" t="s">
        <v>356</v>
      </c>
      <c r="F166" s="221" t="s">
        <v>356</v>
      </c>
      <c r="G166" s="210"/>
      <c r="H166" s="210"/>
      <c r="I166" s="221" t="s">
        <v>356</v>
      </c>
      <c r="J166" s="221" t="s">
        <v>356</v>
      </c>
      <c r="K166" s="222"/>
    </row>
    <row r="167" spans="1:11" ht="48" x14ac:dyDescent="0.25">
      <c r="A167" s="181" t="s">
        <v>359</v>
      </c>
      <c r="B167" s="200">
        <v>6130</v>
      </c>
      <c r="C167" s="210"/>
      <c r="D167" s="210"/>
      <c r="E167" s="221" t="s">
        <v>356</v>
      </c>
      <c r="F167" s="221" t="s">
        <v>356</v>
      </c>
      <c r="G167" s="210"/>
      <c r="H167" s="210"/>
      <c r="I167" s="221" t="s">
        <v>356</v>
      </c>
      <c r="J167" s="221" t="s">
        <v>356</v>
      </c>
      <c r="K167" s="222"/>
    </row>
    <row r="169" spans="1:11" ht="14.65" customHeight="1" x14ac:dyDescent="0.25">
      <c r="A169" s="6" t="s">
        <v>81</v>
      </c>
      <c r="B169" s="36"/>
      <c r="C169" s="36"/>
      <c r="D169" s="371" t="s">
        <v>127</v>
      </c>
      <c r="E169" s="371"/>
      <c r="F169" s="145"/>
      <c r="G169" s="387"/>
      <c r="H169" s="387"/>
      <c r="I169" s="387"/>
    </row>
    <row r="170" spans="1:11" x14ac:dyDescent="0.25">
      <c r="A170" s="7" t="s">
        <v>80</v>
      </c>
      <c r="B170" s="1"/>
      <c r="C170" s="1"/>
      <c r="D170" s="342" t="s">
        <v>260</v>
      </c>
      <c r="E170" s="342"/>
      <c r="F170" s="7"/>
      <c r="G170" s="342" t="s">
        <v>129</v>
      </c>
      <c r="H170" s="342"/>
      <c r="I170" s="342"/>
    </row>
    <row r="172" spans="1:11" x14ac:dyDescent="0.25">
      <c r="A172" s="8" t="s">
        <v>110</v>
      </c>
    </row>
  </sheetData>
  <mergeCells count="21">
    <mergeCell ref="D170:E170"/>
    <mergeCell ref="G170:I170"/>
    <mergeCell ref="A10:J10"/>
    <mergeCell ref="A11:J11"/>
    <mergeCell ref="A37:J37"/>
    <mergeCell ref="A88:J88"/>
    <mergeCell ref="A100:J100"/>
    <mergeCell ref="A117:J117"/>
    <mergeCell ref="A128:J128"/>
    <mergeCell ref="A135:J135"/>
    <mergeCell ref="A163:J163"/>
    <mergeCell ref="D169:E169"/>
    <mergeCell ref="G169:I169"/>
    <mergeCell ref="A2:J2"/>
    <mergeCell ref="A3:J3"/>
    <mergeCell ref="A4:J4"/>
    <mergeCell ref="A5:J5"/>
    <mergeCell ref="A7:A8"/>
    <mergeCell ref="B7:B8"/>
    <mergeCell ref="C7:F7"/>
    <mergeCell ref="G7:J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Фін план</vt:lpstr>
      <vt:lpstr>1_ кап інвестиції</vt:lpstr>
      <vt:lpstr>2_ кап будівництво</vt:lpstr>
      <vt:lpstr>3_ залучені кошти</vt:lpstr>
      <vt:lpstr>4_ персонал</vt:lpstr>
      <vt:lpstr>5_майно</vt:lpstr>
      <vt:lpstr>6_транспорт</vt:lpstr>
      <vt:lpstr>ЗВІТ</vt:lpstr>
      <vt:lpstr>'4_ персонал'!Область_друку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Другий</cp:lastModifiedBy>
  <cp:lastPrinted>2026-07-14T12:27:12Z</cp:lastPrinted>
  <dcterms:created xsi:type="dcterms:W3CDTF">2021-10-04T06:32:37Z</dcterms:created>
  <dcterms:modified xsi:type="dcterms:W3CDTF">2026-07-22T10:36:36Z</dcterms:modified>
</cp:coreProperties>
</file>