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/>
  </bookViews>
  <sheets>
    <sheet name="3" sheetId="1" r:id="rId1"/>
  </sheets>
  <definedNames>
    <definedName name="_xlnm.Print_Titles" localSheetId="0">'3'!$19:$23</definedName>
    <definedName name="_xlnm.Print_Area" localSheetId="0">'3'!$A$1:$P$144</definedName>
  </definedNames>
  <calcPr calcId="125725"/>
</workbook>
</file>

<file path=xl/calcChain.xml><?xml version="1.0" encoding="utf-8"?>
<calcChain xmlns="http://schemas.openxmlformats.org/spreadsheetml/2006/main">
  <c r="F85" i="1"/>
  <c r="F46"/>
  <c r="F26" s="1"/>
  <c r="F25" s="1"/>
  <c r="I52"/>
  <c r="E52" s="1"/>
  <c r="I85"/>
  <c r="I82" s="1"/>
  <c r="I81" s="1"/>
  <c r="O146"/>
  <c r="N146"/>
  <c r="M146"/>
  <c r="L146"/>
  <c r="K146"/>
  <c r="J146"/>
  <c r="H146"/>
  <c r="G146"/>
  <c r="I78"/>
  <c r="F78"/>
  <c r="F70"/>
  <c r="F43"/>
  <c r="I45"/>
  <c r="F45"/>
  <c r="I51"/>
  <c r="F50"/>
  <c r="E50" s="1"/>
  <c r="P50" s="1"/>
  <c r="H128"/>
  <c r="F128"/>
  <c r="G34"/>
  <c r="G26"/>
  <c r="G25" s="1"/>
  <c r="G138" s="1"/>
  <c r="F34"/>
  <c r="I48"/>
  <c r="E48"/>
  <c r="I135"/>
  <c r="G89"/>
  <c r="G82"/>
  <c r="G81" s="1"/>
  <c r="H90"/>
  <c r="F90"/>
  <c r="H85"/>
  <c r="H84"/>
  <c r="F84"/>
  <c r="F119"/>
  <c r="F30"/>
  <c r="I137"/>
  <c r="O96"/>
  <c r="J96" s="1"/>
  <c r="P96" s="1"/>
  <c r="K96"/>
  <c r="J102"/>
  <c r="E102"/>
  <c r="P102" s="1"/>
  <c r="F132"/>
  <c r="E132" s="1"/>
  <c r="P132" s="1"/>
  <c r="F56"/>
  <c r="F27"/>
  <c r="J132"/>
  <c r="O55"/>
  <c r="K55"/>
  <c r="F69"/>
  <c r="I27"/>
  <c r="F72"/>
  <c r="G128"/>
  <c r="G127" s="1"/>
  <c r="G126" s="1"/>
  <c r="H34"/>
  <c r="H26" s="1"/>
  <c r="H25" s="1"/>
  <c r="G29"/>
  <c r="I29"/>
  <c r="F28"/>
  <c r="H88"/>
  <c r="F88"/>
  <c r="F89"/>
  <c r="F92"/>
  <c r="F83"/>
  <c r="E108"/>
  <c r="J108"/>
  <c r="P108" s="1"/>
  <c r="E136"/>
  <c r="O65"/>
  <c r="J65" s="1"/>
  <c r="J26" s="1"/>
  <c r="J25" s="1"/>
  <c r="K65"/>
  <c r="I72"/>
  <c r="I77"/>
  <c r="F77"/>
  <c r="E77" s="1"/>
  <c r="P77" s="1"/>
  <c r="Q138" s="1"/>
  <c r="F37"/>
  <c r="E37" s="1"/>
  <c r="P37" s="1"/>
  <c r="H27"/>
  <c r="G88"/>
  <c r="G85"/>
  <c r="G84"/>
  <c r="F68"/>
  <c r="F135"/>
  <c r="F134" s="1"/>
  <c r="F133" s="1"/>
  <c r="H89"/>
  <c r="H82" s="1"/>
  <c r="H81" s="1"/>
  <c r="F91"/>
  <c r="E91" s="1"/>
  <c r="P91" s="1"/>
  <c r="F52"/>
  <c r="L111"/>
  <c r="L82" s="1"/>
  <c r="L81" s="1"/>
  <c r="I56"/>
  <c r="F47"/>
  <c r="E47" s="1"/>
  <c r="P47" s="1"/>
  <c r="J109"/>
  <c r="E109"/>
  <c r="P109"/>
  <c r="I119"/>
  <c r="F74"/>
  <c r="E74" s="1"/>
  <c r="P74" s="1"/>
  <c r="E88"/>
  <c r="J87"/>
  <c r="J94"/>
  <c r="P94" s="1"/>
  <c r="J95"/>
  <c r="K124"/>
  <c r="O124"/>
  <c r="J124"/>
  <c r="E68"/>
  <c r="J131"/>
  <c r="N127"/>
  <c r="N126" s="1"/>
  <c r="M127"/>
  <c r="M126"/>
  <c r="L127"/>
  <c r="L126" s="1"/>
  <c r="I127"/>
  <c r="I126" s="1"/>
  <c r="E131"/>
  <c r="E49"/>
  <c r="P49"/>
  <c r="E79"/>
  <c r="E80"/>
  <c r="E130"/>
  <c r="E129"/>
  <c r="E86"/>
  <c r="P86" s="1"/>
  <c r="E87"/>
  <c r="P87" s="1"/>
  <c r="E93"/>
  <c r="P93" s="1"/>
  <c r="E94"/>
  <c r="E95"/>
  <c r="E96"/>
  <c r="E97"/>
  <c r="E98"/>
  <c r="E99"/>
  <c r="E100"/>
  <c r="E101"/>
  <c r="E103"/>
  <c r="E104"/>
  <c r="P104" s="1"/>
  <c r="E105"/>
  <c r="P105" s="1"/>
  <c r="E106"/>
  <c r="P106" s="1"/>
  <c r="E107"/>
  <c r="E110"/>
  <c r="E111"/>
  <c r="E112"/>
  <c r="P112" s="1"/>
  <c r="E113"/>
  <c r="E114"/>
  <c r="E115"/>
  <c r="P115" s="1"/>
  <c r="E116"/>
  <c r="E117"/>
  <c r="E118"/>
  <c r="P118" s="1"/>
  <c r="E120"/>
  <c r="P120" s="1"/>
  <c r="E121"/>
  <c r="P121" s="1"/>
  <c r="E122"/>
  <c r="E123"/>
  <c r="E124"/>
  <c r="E76"/>
  <c r="E73"/>
  <c r="E71"/>
  <c r="E70"/>
  <c r="P70" s="1"/>
  <c r="E67"/>
  <c r="E66"/>
  <c r="E65"/>
  <c r="P65" s="1"/>
  <c r="E64"/>
  <c r="E63"/>
  <c r="P63" s="1"/>
  <c r="E62"/>
  <c r="E61"/>
  <c r="E59"/>
  <c r="E58"/>
  <c r="E55"/>
  <c r="E53"/>
  <c r="E44"/>
  <c r="P44" s="1"/>
  <c r="E42"/>
  <c r="E41"/>
  <c r="P41"/>
  <c r="E39"/>
  <c r="P39" s="1"/>
  <c r="E38"/>
  <c r="P38"/>
  <c r="E31"/>
  <c r="E32"/>
  <c r="P32" s="1"/>
  <c r="E33"/>
  <c r="E35"/>
  <c r="E36"/>
  <c r="P36" s="1"/>
  <c r="J29"/>
  <c r="J30"/>
  <c r="J27"/>
  <c r="P27" s="1"/>
  <c r="J52"/>
  <c r="J72"/>
  <c r="J64"/>
  <c r="J47"/>
  <c r="J58"/>
  <c r="P58"/>
  <c r="J45"/>
  <c r="J113"/>
  <c r="P113"/>
  <c r="J112"/>
  <c r="H134"/>
  <c r="H133"/>
  <c r="J78"/>
  <c r="L26"/>
  <c r="L25" s="1"/>
  <c r="L138" s="1"/>
  <c r="J97"/>
  <c r="J103"/>
  <c r="J99"/>
  <c r="J105"/>
  <c r="J106"/>
  <c r="J107"/>
  <c r="J44"/>
  <c r="J34"/>
  <c r="J130"/>
  <c r="P130" s="1"/>
  <c r="O119"/>
  <c r="O82" s="1"/>
  <c r="O81" s="1"/>
  <c r="K119"/>
  <c r="J53"/>
  <c r="J54"/>
  <c r="J110"/>
  <c r="J48"/>
  <c r="J43"/>
  <c r="G134"/>
  <c r="G133" s="1"/>
  <c r="O129"/>
  <c r="O127"/>
  <c r="O126"/>
  <c r="K129"/>
  <c r="K127" s="1"/>
  <c r="K126" s="1"/>
  <c r="J128"/>
  <c r="J127" s="1"/>
  <c r="J126" s="1"/>
  <c r="J46"/>
  <c r="J63"/>
  <c r="J71"/>
  <c r="J62"/>
  <c r="J144"/>
  <c r="J117"/>
  <c r="J115"/>
  <c r="J57"/>
  <c r="P57" s="1"/>
  <c r="J70"/>
  <c r="P144"/>
  <c r="J121"/>
  <c r="J84"/>
  <c r="J89"/>
  <c r="J101"/>
  <c r="J75"/>
  <c r="J123"/>
  <c r="J59"/>
  <c r="J80"/>
  <c r="J69"/>
  <c r="J79"/>
  <c r="P79" s="1"/>
  <c r="J83"/>
  <c r="J76"/>
  <c r="P76"/>
  <c r="J77"/>
  <c r="J86"/>
  <c r="J88"/>
  <c r="J98"/>
  <c r="J100"/>
  <c r="J104"/>
  <c r="J114"/>
  <c r="J120"/>
  <c r="J122"/>
  <c r="P122" s="1"/>
  <c r="J125"/>
  <c r="P125" s="1"/>
  <c r="J28"/>
  <c r="J31"/>
  <c r="P31" s="1"/>
  <c r="J32"/>
  <c r="J33"/>
  <c r="J35"/>
  <c r="J36"/>
  <c r="J37"/>
  <c r="J40"/>
  <c r="J50"/>
  <c r="J56"/>
  <c r="J60"/>
  <c r="J61"/>
  <c r="J66"/>
  <c r="J68"/>
  <c r="P68" s="1"/>
  <c r="J74"/>
  <c r="N26"/>
  <c r="M26"/>
  <c r="M25"/>
  <c r="J137"/>
  <c r="J90"/>
  <c r="J91"/>
  <c r="J92"/>
  <c r="P92" s="1"/>
  <c r="J93"/>
  <c r="J116"/>
  <c r="J118"/>
  <c r="J135"/>
  <c r="J136"/>
  <c r="K134"/>
  <c r="K133" s="1"/>
  <c r="O134"/>
  <c r="O133" s="1"/>
  <c r="N134"/>
  <c r="N133"/>
  <c r="M134"/>
  <c r="M133" s="1"/>
  <c r="L134"/>
  <c r="L133"/>
  <c r="N82"/>
  <c r="N81" s="1"/>
  <c r="M82"/>
  <c r="M81" s="1"/>
  <c r="J67"/>
  <c r="J85"/>
  <c r="K26"/>
  <c r="K25"/>
  <c r="J73"/>
  <c r="P73" s="1"/>
  <c r="F125"/>
  <c r="E40"/>
  <c r="P40" s="1"/>
  <c r="E54"/>
  <c r="E57"/>
  <c r="E75"/>
  <c r="E60"/>
  <c r="E51"/>
  <c r="P51" s="1"/>
  <c r="P88"/>
  <c r="P95"/>
  <c r="P117"/>
  <c r="P123"/>
  <c r="P62"/>
  <c r="J55"/>
  <c r="P55" s="1"/>
  <c r="E69"/>
  <c r="P69" s="1"/>
  <c r="E27"/>
  <c r="H127"/>
  <c r="H126" s="1"/>
  <c r="E128"/>
  <c r="E127" s="1"/>
  <c r="E126" s="1"/>
  <c r="E29"/>
  <c r="P29" s="1"/>
  <c r="E28"/>
  <c r="P28" s="1"/>
  <c r="E89"/>
  <c r="E90"/>
  <c r="E84"/>
  <c r="P84" s="1"/>
  <c r="E119"/>
  <c r="E92"/>
  <c r="E83"/>
  <c r="P83" s="1"/>
  <c r="P136"/>
  <c r="P48"/>
  <c r="P90"/>
  <c r="E45"/>
  <c r="P45" s="1"/>
  <c r="P131"/>
  <c r="E72"/>
  <c r="P72" s="1"/>
  <c r="E34"/>
  <c r="K82"/>
  <c r="K81" s="1"/>
  <c r="P80"/>
  <c r="E135"/>
  <c r="E134" s="1"/>
  <c r="E133" s="1"/>
  <c r="P99"/>
  <c r="P107"/>
  <c r="P110"/>
  <c r="P114"/>
  <c r="P116"/>
  <c r="P124"/>
  <c r="P71"/>
  <c r="P67"/>
  <c r="P66"/>
  <c r="P61"/>
  <c r="P59"/>
  <c r="P53"/>
  <c r="P33"/>
  <c r="P35"/>
  <c r="P97"/>
  <c r="P103"/>
  <c r="P60"/>
  <c r="N25"/>
  <c r="N138" s="1"/>
  <c r="E30"/>
  <c r="P30" s="1"/>
  <c r="E78"/>
  <c r="P78" s="1"/>
  <c r="P98"/>
  <c r="P101"/>
  <c r="P100"/>
  <c r="P64"/>
  <c r="J134"/>
  <c r="J133" s="1"/>
  <c r="P54"/>
  <c r="P75"/>
  <c r="I134"/>
  <c r="I133"/>
  <c r="E137"/>
  <c r="E43"/>
  <c r="P43"/>
  <c r="O26"/>
  <c r="O25" s="1"/>
  <c r="O138" s="1"/>
  <c r="J129"/>
  <c r="P34"/>
  <c r="P89"/>
  <c r="P135"/>
  <c r="P134" s="1"/>
  <c r="P133" s="1"/>
  <c r="P137"/>
  <c r="P129"/>
  <c r="E46" l="1"/>
  <c r="P46" s="1"/>
  <c r="P52"/>
  <c r="I26"/>
  <c r="I25" s="1"/>
  <c r="I138" s="1"/>
  <c r="I146" s="1"/>
  <c r="E85"/>
  <c r="E82" s="1"/>
  <c r="E81" s="1"/>
  <c r="F82"/>
  <c r="F81" s="1"/>
  <c r="F138" s="1"/>
  <c r="F146" s="1"/>
  <c r="K138"/>
  <c r="M138"/>
  <c r="H138"/>
  <c r="J111"/>
  <c r="P111" s="1"/>
  <c r="F127"/>
  <c r="F126" s="1"/>
  <c r="J119"/>
  <c r="P119" s="1"/>
  <c r="E56"/>
  <c r="P56" s="1"/>
  <c r="P128"/>
  <c r="P127" s="1"/>
  <c r="P126" s="1"/>
  <c r="P26" l="1"/>
  <c r="P25" s="1"/>
  <c r="P85"/>
  <c r="P82" s="1"/>
  <c r="P81" s="1"/>
  <c r="J82"/>
  <c r="J81" s="1"/>
  <c r="J138" s="1"/>
  <c r="E26"/>
  <c r="E25" s="1"/>
  <c r="E138" s="1"/>
  <c r="E146" s="1"/>
  <c r="P138" l="1"/>
  <c r="P146" s="1"/>
</calcChain>
</file>

<file path=xl/sharedStrings.xml><?xml version="1.0" encoding="utf-8"?>
<sst xmlns="http://schemas.openxmlformats.org/spreadsheetml/2006/main" count="445" uniqueCount="343">
  <si>
    <t>з них</t>
  </si>
  <si>
    <t xml:space="preserve">оплата праці </t>
  </si>
  <si>
    <t>комунальні послуги та енергоносії</t>
  </si>
  <si>
    <t xml:space="preserve"> Загальний фонд</t>
  </si>
  <si>
    <t>0111</t>
  </si>
  <si>
    <t>1030</t>
  </si>
  <si>
    <t>0830</t>
  </si>
  <si>
    <t>0133</t>
  </si>
  <si>
    <t>1040</t>
  </si>
  <si>
    <t>0731</t>
  </si>
  <si>
    <t>0810</t>
  </si>
  <si>
    <t>0921</t>
  </si>
  <si>
    <t>0960</t>
  </si>
  <si>
    <t>0990</t>
  </si>
  <si>
    <t>0910</t>
  </si>
  <si>
    <t>1070</t>
  </si>
  <si>
    <t>1090</t>
  </si>
  <si>
    <t>1010</t>
  </si>
  <si>
    <t>0824</t>
  </si>
  <si>
    <t>0829</t>
  </si>
  <si>
    <t>0490</t>
  </si>
  <si>
    <t>0180</t>
  </si>
  <si>
    <t>0160</t>
  </si>
  <si>
    <t>0828</t>
  </si>
  <si>
    <t>0421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</si>
  <si>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</si>
  <si>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4030</t>
  </si>
  <si>
    <t>4060</t>
  </si>
  <si>
    <t>3131</t>
  </si>
  <si>
    <t>5031</t>
  </si>
  <si>
    <t>Багатопрофільна стаціонарна медична допомога населенню</t>
  </si>
  <si>
    <t>5061</t>
  </si>
  <si>
    <t>Здійснення заходів та реалізація проектів на виконання Державної цільової соціальної програми «Молодь України»</t>
  </si>
  <si>
    <t>Компенсаційні виплати за пільговий проїзд окремих категорій громадян на залізничному транспорті</t>
  </si>
  <si>
    <t xml:space="preserve"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 </t>
  </si>
  <si>
    <t>Забезпечення діяльності бібліотек</t>
  </si>
  <si>
    <t>Забезпечення діяльності музеїв і виставок</t>
  </si>
  <si>
    <t>4040</t>
  </si>
  <si>
    <t>0613131</t>
  </si>
  <si>
    <t>0150</t>
  </si>
  <si>
    <t>7680</t>
  </si>
  <si>
    <t>8410</t>
  </si>
  <si>
    <t>Інша діяльність у сфері державного управління</t>
  </si>
  <si>
    <t>3032</t>
  </si>
  <si>
    <t>Надання пільг окремим категоріям громадян з оплати послуг зв'язку</t>
  </si>
  <si>
    <t>3035</t>
  </si>
  <si>
    <t>9770</t>
  </si>
  <si>
    <t>0210000</t>
  </si>
  <si>
    <t>0200000</t>
  </si>
  <si>
    <t>0600000</t>
  </si>
  <si>
    <t>0610000</t>
  </si>
  <si>
    <t>0611010</t>
  </si>
  <si>
    <t>0613140</t>
  </si>
  <si>
    <t>3140</t>
  </si>
  <si>
    <t>0615061</t>
  </si>
  <si>
    <t>3242</t>
  </si>
  <si>
    <t>Надання дошкільної освiти</t>
  </si>
  <si>
    <t>Забезпечення діяльності інших закладів у сфері освіти</t>
  </si>
  <si>
    <t>Інші програми та заходи у сфері освіти</t>
  </si>
  <si>
    <t>4082</t>
  </si>
  <si>
    <t>Інші заходи в галузі культури і мистецтва</t>
  </si>
  <si>
    <t>Забезпечення діяльності палаців і будинків культури, клубів, центрів дозвілля та інших клубних закладів</t>
  </si>
  <si>
    <t>Код Функціональної класифікації видатків та кредитування бюджету</t>
  </si>
  <si>
    <t>УСЬОГО</t>
  </si>
  <si>
    <t>у тому числі бюджету розвитку</t>
  </si>
  <si>
    <t>6083</t>
  </si>
  <si>
    <t>0610</t>
  </si>
  <si>
    <t>Проектні, будівельно-ремонтні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дітей, позбавлених батьківського піклування, осіб з їх числа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</si>
  <si>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</si>
  <si>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</si>
  <si>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</si>
  <si>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усього</t>
  </si>
  <si>
    <t>видатки споживання</t>
  </si>
  <si>
    <t>видатки розвитку</t>
  </si>
  <si>
    <t>Разом</t>
  </si>
  <si>
    <t>(грн)</t>
  </si>
  <si>
    <t>(код бюджету)</t>
  </si>
  <si>
    <t>Надання позашкільної освіти закладами позашкільної освіти, заходи із позашкільної роботи з дітьми</t>
  </si>
  <si>
    <t>0619770</t>
  </si>
  <si>
    <t>0443</t>
  </si>
  <si>
    <t>Виконавчий комітет Пятихатської міської ради</t>
  </si>
  <si>
    <t>0210150</t>
  </si>
  <si>
    <t>0210180</t>
  </si>
  <si>
    <t>0218410</t>
  </si>
  <si>
    <t>0217680</t>
  </si>
  <si>
    <t>0615031</t>
  </si>
  <si>
    <t>0213242</t>
  </si>
  <si>
    <t>0614030</t>
  </si>
  <si>
    <t>0614040</t>
  </si>
  <si>
    <t>0614060</t>
  </si>
  <si>
    <t>0614082</t>
  </si>
  <si>
    <t>Фінансове управління П’ятихатської міської ради</t>
  </si>
  <si>
    <t>0213035</t>
  </si>
  <si>
    <t>0213050</t>
  </si>
  <si>
    <t>0213160</t>
  </si>
  <si>
    <t>3210</t>
  </si>
  <si>
    <t>1050</t>
  </si>
  <si>
    <t>Організація та проведення громадських робіт</t>
  </si>
  <si>
    <t>0213210</t>
  </si>
  <si>
    <t>0610160</t>
  </si>
  <si>
    <t>Організація благоустрою населених пунктів</t>
  </si>
  <si>
    <t>0620</t>
  </si>
  <si>
    <t>6030</t>
  </si>
  <si>
    <t>0216030</t>
  </si>
  <si>
    <t xml:space="preserve">Внески до статутного капіталу субєктів господарювання </t>
  </si>
  <si>
    <t>7670</t>
  </si>
  <si>
    <t>0217670</t>
  </si>
  <si>
    <t>Членські внески до асоціацій органів місцевого самоврядуванн</t>
  </si>
  <si>
    <t>Інші заходи, повязані з економічною діяльністю</t>
  </si>
  <si>
    <t>0217693</t>
  </si>
  <si>
    <t>7693</t>
  </si>
  <si>
    <t>0217461</t>
  </si>
  <si>
    <t>7461</t>
  </si>
  <si>
    <t>0456</t>
  </si>
  <si>
    <t>0218340</t>
  </si>
  <si>
    <t>8340</t>
  </si>
  <si>
    <t>0540</t>
  </si>
  <si>
    <t>Природоохоронні заходи за рахунок цільових фондів</t>
  </si>
  <si>
    <t>0213032</t>
  </si>
  <si>
    <t>Утримання та розвиток автомобільних доріг та дорожньої інфраструктури за рахунок коштів місцевого бюджету</t>
  </si>
  <si>
    <t>3718710</t>
  </si>
  <si>
    <t>8710</t>
  </si>
  <si>
    <t>Резервний фонд місцевого бюджету</t>
  </si>
  <si>
    <t>Керівництво і управління у відповідній сфері у містах (місті Києві), селищах, селах, територіальних громадах</t>
  </si>
  <si>
    <t>Керівництво і управління у відповідній сфері у містах (місті Києві), селищах, селах,  територіальних громадах</t>
  </si>
  <si>
    <t>0611031</t>
  </si>
  <si>
    <t>0611021</t>
  </si>
  <si>
    <t>1021</t>
  </si>
  <si>
    <t>1031</t>
  </si>
  <si>
    <t>Надання загальної середньої освіти закладами загальної середньої освіти</t>
  </si>
  <si>
    <t>0611070</t>
  </si>
  <si>
    <t>0611080</t>
  </si>
  <si>
    <t>1080</t>
  </si>
  <si>
    <t>0611141</t>
  </si>
  <si>
    <t>1141</t>
  </si>
  <si>
    <t>0611142</t>
  </si>
  <si>
    <t>1142</t>
  </si>
  <si>
    <t>0611151</t>
  </si>
  <si>
    <t>1151</t>
  </si>
  <si>
    <t>Забезпечення діяльності інклюзивно-ресурсних центрів за рахунок коштів місцевого бюджету</t>
  </si>
  <si>
    <t>0611160</t>
  </si>
  <si>
    <t>1160</t>
  </si>
  <si>
    <t>Забезпечення діяльності центрів професійного розвитку педагогічних працівників</t>
  </si>
  <si>
    <t>0611152</t>
  </si>
  <si>
    <t>1152</t>
  </si>
  <si>
    <t>0611200</t>
  </si>
  <si>
    <t>1200</t>
  </si>
  <si>
    <t>7330</t>
  </si>
  <si>
    <t>7310</t>
  </si>
  <si>
    <t>7130</t>
  </si>
  <si>
    <t>9800</t>
  </si>
  <si>
    <t>0219800</t>
  </si>
  <si>
    <t>0217130</t>
  </si>
  <si>
    <t>0217310</t>
  </si>
  <si>
    <t>0217330</t>
  </si>
  <si>
    <t>Здійснення заходів із землеустрою</t>
  </si>
  <si>
    <t>Субвенція з місцевого бюджету державному бюджету на виконання програм соціально-економічного розвитку регіонів</t>
  </si>
  <si>
    <t>Інші субвенції з місцевого бюджету.</t>
  </si>
  <si>
    <t>7350</t>
  </si>
  <si>
    <t>0217350</t>
  </si>
  <si>
    <t>Розроблення схем планування та забудови територій (містобудівної документації)</t>
  </si>
  <si>
    <t>0216083</t>
  </si>
  <si>
    <t>0217650</t>
  </si>
  <si>
    <t>7650</t>
  </si>
  <si>
    <t>Проведення експертної грошової оцінки земельної ділянки чи права на неї</t>
  </si>
  <si>
    <t>0611061</t>
  </si>
  <si>
    <t>1061</t>
  </si>
  <si>
    <t>0617324</t>
  </si>
  <si>
    <t>7324</t>
  </si>
  <si>
    <t>Будівництво установ та закладів культури</t>
  </si>
  <si>
    <t>Будівництво об'єктів житлово-комунального господарства</t>
  </si>
  <si>
    <t>Будівництво інших об'єктів комунальної власності</t>
  </si>
  <si>
    <t>0219770</t>
  </si>
  <si>
    <t>0217540</t>
  </si>
  <si>
    <t>7540</t>
  </si>
  <si>
    <t>Реалізація заходів, спрямованих на підвищення доступності широкосмугового доступу до Інтернету в сільській місцевості</t>
  </si>
  <si>
    <t>0460</t>
  </si>
  <si>
    <t>Пільгове медичне обслуговування осіб, які постраждали внаслідок Чорнобильскої катастрофи</t>
  </si>
  <si>
    <t>Забезпечення діяльності інклюзивно-ресурсних центрів за рахунок освітньої субвенції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</si>
  <si>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</si>
  <si>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Надання спеціалізованої освіти мистецькими школами</t>
  </si>
  <si>
    <t>0219410</t>
  </si>
  <si>
    <t>9410</t>
  </si>
  <si>
    <t>Субвенція з місцевого бюджету на закупівлю опорними закладами охорони здоров'я послуг щодо проектування та встановлення кисневих станцій за рахунок залишку коштів відповідної субвенції з державного бюджету, що утворився на початок бюджетного періоду</t>
  </si>
  <si>
    <t>0611154</t>
  </si>
  <si>
    <t>1154</t>
  </si>
  <si>
    <t>Забезпечення діяльності інклюзивно-ресурсних центрів за рахунок залишку коштів за освітньою субвенцією (крім залишку коштів, що мають цільове призначення, виділених відповідно до рішень Кабінету Міністрів України у попередньому бюджетному періоді)</t>
  </si>
  <si>
    <t>0218240</t>
  </si>
  <si>
    <t>8240</t>
  </si>
  <si>
    <t>0380</t>
  </si>
  <si>
    <t>Заходи та роботи з територіальної оборони</t>
  </si>
  <si>
    <t>0218110</t>
  </si>
  <si>
    <t>8110</t>
  </si>
  <si>
    <t>0320</t>
  </si>
  <si>
    <t>Заходи із запобігання та ліквідації надзвичайних ситуацій та наслідків стихійного лиха</t>
  </si>
  <si>
    <t>0217691</t>
  </si>
  <si>
    <t>7691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</si>
  <si>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 і місцевими оргнанами виконавчої влади</t>
  </si>
  <si>
    <t>0618775</t>
  </si>
  <si>
    <t>8775</t>
  </si>
  <si>
    <t>Інші заходи за рахунок коштів резервного фонду місцевого бюджету</t>
  </si>
  <si>
    <t>Спеціальний фонд</t>
  </si>
  <si>
    <t>0458800000</t>
  </si>
  <si>
    <t>Надання загальної середньої освіти закладами загальної середньої освіти за рахунок освітньої субвенції</t>
  </si>
  <si>
    <t>Надання загальної середньої освіти закладами загальної середньої освіти за рахунок коштів місцевого бюджету</t>
  </si>
  <si>
    <t>0900000</t>
  </si>
  <si>
    <t>0910000</t>
  </si>
  <si>
    <t>0910160</t>
  </si>
  <si>
    <t>Служба у справах дітей П'ятихатської міської ради</t>
  </si>
  <si>
    <t>0213230</t>
  </si>
  <si>
    <t>Видатки, пов`язані з наданням підтримки внутрішньо перемішеним та/або евакуйованим особам у зв`язку із введенням воєнного стану</t>
  </si>
  <si>
    <t>3230</t>
  </si>
  <si>
    <t>0213191</t>
  </si>
  <si>
    <t>3191</t>
  </si>
  <si>
    <t>Інші видатки на соціальний захист ветеранів війни та праці</t>
  </si>
  <si>
    <t>0611271</t>
  </si>
  <si>
    <t>1271</t>
  </si>
  <si>
    <t>Співфінансування заходів, що реалізуються за рахунок освітньої субвенції з державного бюджету місцевим бюджетам (за спеціальним фондом державного бюджету)</t>
  </si>
  <si>
    <t>0611272</t>
  </si>
  <si>
    <t>1272</t>
  </si>
  <si>
    <t>Реалізація заходів за рахунок освітньої субвенції з державного бюджету місцевим бюджетам (за спеціальним фондом державного бюджету)</t>
  </si>
  <si>
    <t>0611292</t>
  </si>
  <si>
    <t>1292</t>
  </si>
  <si>
    <t>6017</t>
  </si>
  <si>
    <t>0216017</t>
  </si>
  <si>
    <t>Інша діяльність, пов`язана з експлуатацією об`єктів житлово-комунального господарства</t>
  </si>
  <si>
    <t>0213192</t>
  </si>
  <si>
    <t>3192</t>
  </si>
  <si>
    <t>Надання фінансової підтримки громадським об`єднанням ветеранів і осіб з інвалідністю, діяльність яких має соціальну спрямованість</t>
  </si>
  <si>
    <t>0218130</t>
  </si>
  <si>
    <t>8130</t>
  </si>
  <si>
    <t>Забезпечення діяльності місцевої та добровільної пожежної охорони</t>
  </si>
  <si>
    <t>0214081</t>
  </si>
  <si>
    <t>4081</t>
  </si>
  <si>
    <t>Забезпечення діяльності інших закладів в галузі культури і мистецтва</t>
  </si>
  <si>
    <t>Субвенція обласному бюджету на співфінансування на придбання шкільних  автобусів</t>
  </si>
  <si>
    <t>0218220</t>
  </si>
  <si>
    <t>8220</t>
  </si>
  <si>
    <t>Заходи та роботи з мобілізаційної підготовки місцевого значення</t>
  </si>
  <si>
    <t>0214082</t>
  </si>
  <si>
    <t>0216090</t>
  </si>
  <si>
    <t>6090</t>
  </si>
  <si>
    <t>0640</t>
  </si>
  <si>
    <t>Інша діяльність у сфері житлово-комунального господарства</t>
  </si>
  <si>
    <t>Відділ освіти, молоді та спорту Пятихатської міської ради</t>
  </si>
  <si>
    <t>Забезпечення харчуванням учнів початкових класів закладів загальної середньої освіти за рахунок субвенції з державного бюджету місцевим бюджетам</t>
  </si>
  <si>
    <t>0611403</t>
  </si>
  <si>
    <t>1403</t>
  </si>
  <si>
    <t>0916083</t>
  </si>
  <si>
    <t>0216013</t>
  </si>
  <si>
    <t>6013</t>
  </si>
  <si>
    <t>Забезпечення діяльності водопровідно-каналізаційного господарства</t>
  </si>
  <si>
    <t>Фінансова підтримка медіа (засобів масової інформації)</t>
  </si>
  <si>
    <t>0213121</t>
  </si>
  <si>
    <t>3121</t>
  </si>
  <si>
    <t>Здійснення соціальної роботи та надання соціальних послуг центрами соціальних служб та центрами надання соціальних послуг особам/сім`ям, які належать до вразливих груп населення та/або перебувають у складних життєвих обставинах</t>
  </si>
  <si>
    <t>Розвиток здібностей у дітей та молоді з фізичної культури та спорту комунальними дитячо- юнацькими спортивними школами</t>
  </si>
  <si>
    <t>Проведення (надання) додаткових психолого- педагогічних і корекційно-розвиткових занять (послуг) за рахунок субвенції з державного бюджету місцевим бюджетам на надання державної підтримки особам з особливими освітніми потребами</t>
  </si>
  <si>
    <t>0611600</t>
  </si>
  <si>
    <t>1600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</si>
  <si>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</si>
  <si>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0611183</t>
  </si>
  <si>
    <t>0611184</t>
  </si>
  <si>
    <t>1183</t>
  </si>
  <si>
    <t>1184</t>
  </si>
  <si>
    <t>0216091</t>
  </si>
  <si>
    <t>6091</t>
  </si>
  <si>
    <t>0213193</t>
  </si>
  <si>
    <t>3193</t>
  </si>
  <si>
    <t>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</si>
  <si>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0213245</t>
  </si>
  <si>
    <t>3245</t>
  </si>
  <si>
    <t>Реалізація публічного інвестиційного проекту із забезпечення житлом дитячих будинків сімейного типу, дітей-сиріт та дітей, позбавлених батьківського піклування</t>
  </si>
  <si>
    <t>0913112</t>
  </si>
  <si>
    <t>3112</t>
  </si>
  <si>
    <t>Заходи державної політики з питань дітей та їх соціального захисту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</si>
  <si>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«Нова українська школа»</t>
  </si>
  <si>
    <t>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 «Нова українська школа» за рахунок субвенції з державного бюджету місцевим бюджетам</t>
  </si>
  <si>
    <t>0611279</t>
  </si>
  <si>
    <t>1279</t>
  </si>
  <si>
    <t>0611700</t>
  </si>
  <si>
    <t>1700</t>
  </si>
  <si>
    <t>Виконання заходів за рахунок субвенції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</t>
  </si>
  <si>
    <t>Реалізація заходів  за рахунок освітньої субвенції з державного бюджету місцевим бюджетам (за  спеціальним фондом державного бюджету) на забезпечення харчування учнів  закладів загальної середньої освіти</t>
  </si>
  <si>
    <t>0611702</t>
  </si>
  <si>
    <t>1702</t>
  </si>
  <si>
    <t>Забезпечення харчуванням учнів закладів загальної середньої освіти за рахунок субвенції з державного
бюджету місцевим бюджетам</t>
  </si>
  <si>
    <t>Розподіл видатків міського бюджету на 2026 рік</t>
  </si>
  <si>
    <t>0212010</t>
  </si>
  <si>
    <t>Підготовка та реалізація публічних інвестиційних проектів/програм публічних інвестицій за рахунок коштів місцевого бюджету в галузі житлово-комунального господарства</t>
  </si>
  <si>
    <t>0211141</t>
  </si>
  <si>
    <t>0216014</t>
  </si>
  <si>
    <t>6014</t>
  </si>
  <si>
    <t>0913114</t>
  </si>
  <si>
    <t>3114</t>
  </si>
  <si>
    <t>0218420</t>
  </si>
  <si>
    <t>0611251</t>
  </si>
  <si>
    <t>1251</t>
  </si>
  <si>
    <t>Забезпечення умов для догляду та виховання дітей і молоді в дитячих будинках сімейного типу, прийомних сім’ях та сім’ях патронатних вихователів</t>
  </si>
  <si>
    <t>Забезпечення діяльності місцевих центрів фізичного здоров’я населення та проведення фізкультурно-масових заходів серед населення регіону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</si>
  <si>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безперешкодний доступ до якісної освіти – шкільні автобуси</t>
  </si>
  <si>
    <t>Інші заходи у сфері медіа (засобів масової інформації)</t>
  </si>
  <si>
    <t>8420</t>
  </si>
  <si>
    <t>Забезпечення збору та вивезення сміття і відходів</t>
  </si>
  <si>
    <t>Інші заходи та заклади у сфері соціального захисту і соціального забезпечення</t>
  </si>
  <si>
    <t>0214084</t>
  </si>
  <si>
    <t>4084</t>
  </si>
  <si>
    <t>Проектування, реставрація та охорона пам'яток культурної спадщини</t>
  </si>
  <si>
    <t>3718500</t>
  </si>
  <si>
    <t>8500</t>
  </si>
  <si>
    <t>Нерозподілені трансферти з державного бюджету</t>
  </si>
  <si>
    <t>Реалізація заходів за рахунок освітньої субвенції з державного бюджету місцевим бюджетам (за спеціальним фондом державного бюджету) з урахуванням залишків на забезпечення харчуванням учнів закладів загальної середньої освіти</t>
  </si>
  <si>
    <t>6020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</si>
  <si>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</si>
  <si>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0216020</t>
  </si>
  <si>
    <t>до рішення міської ради</t>
  </si>
  <si>
    <t>Про внесення змін до рішення П’ятихатської</t>
  </si>
  <si>
    <t>міської ради  18  грудня 2025 року № 2414-69/VIII</t>
  </si>
  <si>
    <t xml:space="preserve">"Про бюджет П'ятихатської </t>
  </si>
  <si>
    <t>міської територіальної громади на 2026 рік"</t>
  </si>
  <si>
    <t>з урахуванням змін</t>
  </si>
  <si>
    <t>Додаток  3</t>
  </si>
  <si>
    <t>Секретар міської ради</t>
  </si>
  <si>
    <t>Вікторія НАЗАРЕНКО</t>
  </si>
  <si>
    <t>0619150</t>
  </si>
  <si>
    <t>9150</t>
  </si>
  <si>
    <t>Інші дотації з місцевого бюджету</t>
  </si>
  <si>
    <t>0611276</t>
  </si>
  <si>
    <t>1276</t>
  </si>
  <si>
    <t>Реалізація заходів за рахунок освітньої субвенції з державного бюджету місцевим бюджетам (за спеціальним фондом державного бюджету) з урахуванням залишків на створення сучасного освітнього простору</t>
  </si>
  <si>
    <t>0919770</t>
  </si>
  <si>
    <t>Інші субвенції з місцевого бюджету</t>
  </si>
  <si>
    <t>__липня  2026 року  № __-78/VIII</t>
  </si>
  <si>
    <t>0611231</t>
  </si>
  <si>
    <t>0611232</t>
  </si>
  <si>
    <t>0611291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</si>
  <si>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облаштування безпечних умов у закладах, що надають загальну середню освіту (протипожежний захист), зокрема військових (військово-морських, військово-спортивних) ліцеях, ліцеях із посиленою військово-фізичною підготовкою</t>
  </si>
  <si>
    <t>1231</t>
  </si>
  <si>
    <t>1232</t>
  </si>
  <si>
    <t>Виконання заходів щодо забезпечення реалізації публічного інвестиційного проекту на облаштування безпечних умов у закладах, що надають загальну середню освіту (протипожежний захист), зокрема військових (військово-морських, військово-спортивних) ліцеях, ліцеях із посиленою військово-фізичною підготовкою, за рахунок субвенції з державного бюджету місцевим бюджетам</t>
  </si>
  <si>
    <t>1291</t>
  </si>
  <si>
    <t>Співфінансування заходів, що реалізуються за рахунок освітньої субвенції з державного бюджету місцевим бюджетам (за спеціальним фондом державного бюджету) на забезпечення енергетичної стійкості закладів освіти</t>
  </si>
  <si>
    <t>Виконання заходів за рахунок освітньої субвенції з державного бюджету місцевим бюджетам (за спеціальним фондом державного бюджету) на забезпечення енергетичної стійкості закладів освіти</t>
  </si>
</sst>
</file>

<file path=xl/styles.xml><?xml version="1.0" encoding="utf-8"?>
<styleSheet xmlns="http://schemas.openxmlformats.org/spreadsheetml/2006/main">
  <fonts count="29">
    <font>
      <sz val="10"/>
      <name val="Arial Cyr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u/>
      <sz val="11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indexed="9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9"/>
      <name val="Times New Roman"/>
      <family val="1"/>
      <charset val="204"/>
    </font>
    <font>
      <b/>
      <sz val="10"/>
      <color indexed="9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Calibri"/>
      <family val="2"/>
      <charset val="204"/>
    </font>
    <font>
      <sz val="10"/>
      <color indexed="9"/>
      <name val="Times New Roman"/>
      <family val="1"/>
      <charset val="204"/>
    </font>
    <font>
      <b/>
      <sz val="10"/>
      <color indexed="9"/>
      <name val="Times New Roman"/>
      <family val="1"/>
      <charset val="204"/>
    </font>
    <font>
      <b/>
      <sz val="12"/>
      <color indexed="9"/>
      <name val="Times New Roman"/>
      <family val="1"/>
      <charset val="204"/>
    </font>
    <font>
      <sz val="14"/>
      <color indexed="9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sz val="10"/>
      <color indexed="63"/>
      <name val="Times New Roman"/>
      <family val="1"/>
      <charset val="204"/>
    </font>
    <font>
      <sz val="10"/>
      <color indexed="63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color indexed="63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8" fillId="0" borderId="0"/>
    <xf numFmtId="0" fontId="28" fillId="0" borderId="0"/>
  </cellStyleXfs>
  <cellXfs count="7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5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Border="1"/>
    <xf numFmtId="49" fontId="8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/>
    <xf numFmtId="2" fontId="1" fillId="0" borderId="0" xfId="0" applyNumberFormat="1" applyFont="1"/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2" fontId="1" fillId="0" borderId="1" xfId="0" applyNumberFormat="1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justify" wrapText="1"/>
    </xf>
    <xf numFmtId="49" fontId="2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4" fontId="1" fillId="0" borderId="1" xfId="0" applyNumberFormat="1" applyFont="1" applyBorder="1" applyAlignment="1">
      <alignment vertical="center" wrapText="1"/>
    </xf>
    <xf numFmtId="4" fontId="7" fillId="0" borderId="1" xfId="1" applyNumberFormat="1" applyFont="1" applyBorder="1" applyAlignment="1">
      <alignment wrapText="1"/>
    </xf>
    <xf numFmtId="4" fontId="2" fillId="0" borderId="1" xfId="1" applyNumberFormat="1" applyFont="1" applyBorder="1" applyAlignment="1">
      <alignment wrapText="1"/>
    </xf>
    <xf numFmtId="2" fontId="1" fillId="0" borderId="2" xfId="0" applyNumberFormat="1" applyFont="1" applyBorder="1"/>
    <xf numFmtId="2" fontId="3" fillId="0" borderId="2" xfId="0" applyNumberFormat="1" applyFont="1" applyBorder="1"/>
    <xf numFmtId="0" fontId="8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49" fontId="15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2" fontId="9" fillId="0" borderId="0" xfId="0" applyNumberFormat="1" applyFont="1"/>
    <xf numFmtId="0" fontId="16" fillId="0" borderId="0" xfId="0" applyFont="1" applyAlignment="1">
      <alignment horizontal="center"/>
    </xf>
    <xf numFmtId="49" fontId="16" fillId="0" borderId="0" xfId="0" applyNumberFormat="1" applyFont="1" applyAlignment="1">
      <alignment horizontal="center"/>
    </xf>
    <xf numFmtId="0" fontId="17" fillId="0" borderId="0" xfId="0" applyFont="1" applyAlignment="1">
      <alignment horizontal="left" wrapText="1"/>
    </xf>
    <xf numFmtId="4" fontId="18" fillId="0" borderId="0" xfId="2" applyNumberFormat="1" applyFont="1" applyAlignment="1">
      <alignment vertical="center" wrapText="1"/>
    </xf>
    <xf numFmtId="0" fontId="16" fillId="0" borderId="0" xfId="0" applyFont="1"/>
    <xf numFmtId="49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 wrapText="1"/>
    </xf>
    <xf numFmtId="2" fontId="14" fillId="0" borderId="0" xfId="0" applyNumberFormat="1" applyFont="1"/>
    <xf numFmtId="2" fontId="3" fillId="0" borderId="0" xfId="0" applyNumberFormat="1" applyFont="1"/>
    <xf numFmtId="2" fontId="12" fillId="0" borderId="0" xfId="0" applyNumberFormat="1" applyFont="1"/>
    <xf numFmtId="0" fontId="10" fillId="0" borderId="0" xfId="0" applyFont="1"/>
    <xf numFmtId="2" fontId="10" fillId="0" borderId="0" xfId="0" applyNumberFormat="1" applyFont="1"/>
    <xf numFmtId="0" fontId="13" fillId="0" borderId="0" xfId="0" applyFont="1"/>
    <xf numFmtId="2" fontId="11" fillId="0" borderId="0" xfId="0" applyNumberFormat="1" applyFont="1"/>
    <xf numFmtId="0" fontId="9" fillId="0" borderId="0" xfId="0" applyFont="1"/>
    <xf numFmtId="49" fontId="1" fillId="0" borderId="0" xfId="0" applyNumberFormat="1" applyFont="1"/>
    <xf numFmtId="0" fontId="19" fillId="0" borderId="0" xfId="0" applyFont="1"/>
    <xf numFmtId="2" fontId="20" fillId="0" borderId="0" xfId="0" applyNumberFormat="1" applyFont="1"/>
    <xf numFmtId="2" fontId="21" fillId="0" borderId="0" xfId="0" applyNumberFormat="1" applyFont="1"/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/>
    </xf>
    <xf numFmtId="2" fontId="23" fillId="0" borderId="0" xfId="0" applyNumberFormat="1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wrapText="1"/>
    </xf>
    <xf numFmtId="2" fontId="3" fillId="0" borderId="1" xfId="0" applyNumberFormat="1" applyFont="1" applyBorder="1" applyAlignment="1">
      <alignment horizontal="center"/>
    </xf>
    <xf numFmtId="2" fontId="22" fillId="0" borderId="0" xfId="0" applyNumberFormat="1" applyFont="1"/>
    <xf numFmtId="0" fontId="25" fillId="0" borderId="0" xfId="0" applyFont="1" applyAlignment="1">
      <alignment wrapText="1"/>
    </xf>
    <xf numFmtId="0" fontId="24" fillId="0" borderId="1" xfId="0" applyFont="1" applyBorder="1" applyAlignment="1">
      <alignment wrapText="1"/>
    </xf>
    <xf numFmtId="0" fontId="26" fillId="0" borderId="0" xfId="0" applyFont="1" applyAlignment="1">
      <alignment wrapText="1"/>
    </xf>
    <xf numFmtId="0" fontId="10" fillId="0" borderId="0" xfId="0" applyFont="1" applyAlignment="1">
      <alignment horizontal="left"/>
    </xf>
    <xf numFmtId="0" fontId="27" fillId="0" borderId="0" xfId="0" applyFont="1"/>
    <xf numFmtId="2" fontId="0" fillId="0" borderId="0" xfId="0" applyNumberForma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49" fontId="6" fillId="0" borderId="0" xfId="0" applyNumberFormat="1" applyFont="1" applyAlignment="1">
      <alignment horizontal="center" vertical="top" wrapText="1"/>
    </xf>
    <xf numFmtId="49" fontId="0" fillId="0" borderId="0" xfId="0" applyNumberFormat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196"/>
  <sheetViews>
    <sheetView tabSelected="1" view="pageBreakPreview" topLeftCell="A17" zoomScale="110" zoomScaleNormal="100" zoomScaleSheetLayoutView="110" zoomScalePageLayoutView="93" workbookViewId="0">
      <pane xSplit="4" ySplit="8" topLeftCell="E136" activePane="bottomRight" state="frozen"/>
      <selection activeCell="A17" sqref="A17"/>
      <selection pane="topRight" activeCell="E17" sqref="E17"/>
      <selection pane="bottomLeft" activeCell="A25" sqref="A25"/>
      <selection pane="bottomRight" activeCell="F151" sqref="F151"/>
    </sheetView>
  </sheetViews>
  <sheetFormatPr defaultRowHeight="12.75"/>
  <cols>
    <col min="1" max="1" width="11.140625" style="1" customWidth="1"/>
    <col min="2" max="3" width="9" style="1" customWidth="1"/>
    <col min="4" max="4" width="56.28515625" style="1" customWidth="1"/>
    <col min="5" max="5" width="14.140625" style="1" customWidth="1"/>
    <col min="6" max="6" width="16" style="1" customWidth="1"/>
    <col min="7" max="7" width="19.5703125" style="1" customWidth="1"/>
    <col min="8" max="8" width="20.42578125" style="1" customWidth="1"/>
    <col min="9" max="9" width="15.140625" style="1" customWidth="1"/>
    <col min="10" max="10" width="15.7109375" style="1" customWidth="1"/>
    <col min="11" max="12" width="14.85546875" style="1" customWidth="1"/>
    <col min="13" max="13" width="14.42578125" style="1" customWidth="1"/>
    <col min="14" max="14" width="14.140625" style="1" customWidth="1"/>
    <col min="15" max="15" width="14.28515625" style="1" customWidth="1"/>
    <col min="16" max="16" width="15" style="1" customWidth="1"/>
    <col min="17" max="17" width="13.5703125" style="1" customWidth="1"/>
    <col min="18" max="18" width="10.42578125" style="1" bestFit="1" customWidth="1"/>
    <col min="19" max="16384" width="9.140625" style="1"/>
  </cols>
  <sheetData>
    <row r="1" spans="2:14" ht="7.15" customHeight="1"/>
    <row r="2" spans="2:14" ht="18.75" customHeight="1">
      <c r="N2" s="1" t="s">
        <v>321</v>
      </c>
    </row>
    <row r="3" spans="2:14" ht="18.75" customHeight="1">
      <c r="N3" s="1" t="s">
        <v>315</v>
      </c>
    </row>
    <row r="4" spans="2:14" ht="18.75" customHeight="1">
      <c r="N4" s="2" t="s">
        <v>332</v>
      </c>
    </row>
    <row r="5" spans="2:14" ht="18.75" customHeight="1">
      <c r="N5" s="2" t="s">
        <v>316</v>
      </c>
    </row>
    <row r="6" spans="2:14" ht="15" customHeight="1">
      <c r="N6" s="2" t="s">
        <v>317</v>
      </c>
    </row>
    <row r="7" spans="2:14" ht="14.45" customHeight="1">
      <c r="N7" s="1" t="s">
        <v>318</v>
      </c>
    </row>
    <row r="8" spans="2:14" ht="14.25" customHeight="1">
      <c r="N8" s="1" t="s">
        <v>319</v>
      </c>
    </row>
    <row r="9" spans="2:14" ht="14.25" customHeight="1">
      <c r="N9" s="2" t="s">
        <v>320</v>
      </c>
    </row>
    <row r="10" spans="2:14" ht="14.25" customHeight="1"/>
    <row r="11" spans="2:14" ht="12.75" hidden="1" customHeight="1"/>
    <row r="12" spans="2:14" ht="12.75" hidden="1" customHeight="1">
      <c r="B12" s="3"/>
    </row>
    <row r="13" spans="2:14" hidden="1">
      <c r="B13" s="4"/>
    </row>
    <row r="14" spans="2:14">
      <c r="D14" s="73" t="s">
        <v>287</v>
      </c>
      <c r="E14" s="73"/>
      <c r="F14" s="73"/>
      <c r="G14" s="73"/>
      <c r="H14" s="73"/>
      <c r="I14" s="73"/>
      <c r="J14" s="73"/>
      <c r="K14" s="73"/>
      <c r="L14" s="73"/>
      <c r="M14" s="73"/>
      <c r="N14" s="73"/>
    </row>
    <row r="15" spans="2:14"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</row>
    <row r="16" spans="2:14" ht="17.100000000000001" customHeight="1">
      <c r="B16" s="74" t="s">
        <v>202</v>
      </c>
      <c r="C16" s="75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</row>
    <row r="17" spans="1:17">
      <c r="B17" s="5" t="s">
        <v>76</v>
      </c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</row>
    <row r="18" spans="1:17"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P18" s="6" t="s">
        <v>75</v>
      </c>
    </row>
    <row r="19" spans="1:17" ht="30.2" customHeight="1">
      <c r="A19" s="70" t="s">
        <v>68</v>
      </c>
      <c r="B19" s="70" t="s">
        <v>69</v>
      </c>
      <c r="C19" s="70" t="s">
        <v>62</v>
      </c>
      <c r="D19" s="70" t="s">
        <v>70</v>
      </c>
      <c r="E19" s="68" t="s">
        <v>3</v>
      </c>
      <c r="F19" s="68"/>
      <c r="G19" s="68"/>
      <c r="H19" s="68"/>
      <c r="I19" s="68"/>
      <c r="J19" s="68" t="s">
        <v>201</v>
      </c>
      <c r="K19" s="68"/>
      <c r="L19" s="68"/>
      <c r="M19" s="68"/>
      <c r="N19" s="68"/>
      <c r="O19" s="68"/>
      <c r="P19" s="68" t="s">
        <v>74</v>
      </c>
    </row>
    <row r="20" spans="1:17" ht="15" customHeight="1">
      <c r="A20" s="71"/>
      <c r="B20" s="71"/>
      <c r="C20" s="71"/>
      <c r="D20" s="71"/>
      <c r="E20" s="68" t="s">
        <v>71</v>
      </c>
      <c r="F20" s="69" t="s">
        <v>72</v>
      </c>
      <c r="G20" s="68" t="s">
        <v>0</v>
      </c>
      <c r="H20" s="68"/>
      <c r="I20" s="69" t="s">
        <v>73</v>
      </c>
      <c r="J20" s="68" t="s">
        <v>71</v>
      </c>
      <c r="K20" s="70" t="s">
        <v>64</v>
      </c>
      <c r="L20" s="69" t="s">
        <v>72</v>
      </c>
      <c r="M20" s="68" t="s">
        <v>0</v>
      </c>
      <c r="N20" s="68"/>
      <c r="O20" s="69" t="s">
        <v>73</v>
      </c>
      <c r="P20" s="68"/>
    </row>
    <row r="21" spans="1:17" ht="30.2" customHeight="1">
      <c r="A21" s="71"/>
      <c r="B21" s="71"/>
      <c r="C21" s="71"/>
      <c r="D21" s="71"/>
      <c r="E21" s="68"/>
      <c r="F21" s="69"/>
      <c r="G21" s="69" t="s">
        <v>1</v>
      </c>
      <c r="H21" s="69" t="s">
        <v>2</v>
      </c>
      <c r="I21" s="69"/>
      <c r="J21" s="68"/>
      <c r="K21" s="71"/>
      <c r="L21" s="69"/>
      <c r="M21" s="69" t="s">
        <v>1</v>
      </c>
      <c r="N21" s="69" t="s">
        <v>2</v>
      </c>
      <c r="O21" s="69"/>
      <c r="P21" s="68"/>
    </row>
    <row r="22" spans="1:17" ht="21.75" customHeight="1">
      <c r="A22" s="71"/>
      <c r="B22" s="71"/>
      <c r="C22" s="71"/>
      <c r="D22" s="71"/>
      <c r="E22" s="68"/>
      <c r="F22" s="69"/>
      <c r="G22" s="69"/>
      <c r="H22" s="69"/>
      <c r="I22" s="69"/>
      <c r="J22" s="68"/>
      <c r="K22" s="71"/>
      <c r="L22" s="69"/>
      <c r="M22" s="69"/>
      <c r="N22" s="69"/>
      <c r="O22" s="69"/>
      <c r="P22" s="68"/>
    </row>
    <row r="23" spans="1:17" ht="86.25" customHeight="1">
      <c r="A23" s="72"/>
      <c r="B23" s="72"/>
      <c r="C23" s="72"/>
      <c r="D23" s="72"/>
      <c r="E23" s="68"/>
      <c r="F23" s="69"/>
      <c r="G23" s="69"/>
      <c r="H23" s="69"/>
      <c r="I23" s="69"/>
      <c r="J23" s="68"/>
      <c r="K23" s="72"/>
      <c r="L23" s="69"/>
      <c r="M23" s="69"/>
      <c r="N23" s="69"/>
      <c r="O23" s="69"/>
      <c r="P23" s="68"/>
    </row>
    <row r="24" spans="1:17">
      <c r="A24" s="7">
        <v>1</v>
      </c>
      <c r="B24" s="7">
        <v>2</v>
      </c>
      <c r="C24" s="7">
        <v>3</v>
      </c>
      <c r="D24" s="7">
        <v>4</v>
      </c>
      <c r="E24" s="7">
        <v>5</v>
      </c>
      <c r="F24" s="7">
        <v>6</v>
      </c>
      <c r="G24" s="7">
        <v>7</v>
      </c>
      <c r="H24" s="7">
        <v>8</v>
      </c>
      <c r="I24" s="7">
        <v>9</v>
      </c>
      <c r="J24" s="7">
        <v>10</v>
      </c>
      <c r="K24" s="7">
        <v>11</v>
      </c>
      <c r="L24" s="7">
        <v>12</v>
      </c>
      <c r="M24" s="7">
        <v>13</v>
      </c>
      <c r="N24" s="7">
        <v>14</v>
      </c>
      <c r="O24" s="7">
        <v>15</v>
      </c>
      <c r="P24" s="7">
        <v>16</v>
      </c>
    </row>
    <row r="25" spans="1:17" ht="14.25">
      <c r="A25" s="8" t="s">
        <v>48</v>
      </c>
      <c r="B25" s="9"/>
      <c r="C25" s="60"/>
      <c r="D25" s="10" t="s">
        <v>80</v>
      </c>
      <c r="E25" s="11">
        <f>E26</f>
        <v>167970565</v>
      </c>
      <c r="F25" s="11">
        <f t="shared" ref="F25:P25" si="0">F26</f>
        <v>115276059</v>
      </c>
      <c r="G25" s="11">
        <f t="shared" si="0"/>
        <v>50677395</v>
      </c>
      <c r="H25" s="11">
        <f t="shared" si="0"/>
        <v>4228482</v>
      </c>
      <c r="I25" s="11">
        <f t="shared" si="0"/>
        <v>52694506</v>
      </c>
      <c r="J25" s="11">
        <f t="shared" si="0"/>
        <v>12553341</v>
      </c>
      <c r="K25" s="11">
        <f t="shared" si="0"/>
        <v>12226351</v>
      </c>
      <c r="L25" s="11">
        <f t="shared" si="0"/>
        <v>326990</v>
      </c>
      <c r="M25" s="11">
        <f t="shared" si="0"/>
        <v>186036</v>
      </c>
      <c r="N25" s="11">
        <f t="shared" si="0"/>
        <v>27905</v>
      </c>
      <c r="O25" s="11">
        <f t="shared" si="0"/>
        <v>12226351</v>
      </c>
      <c r="P25" s="11">
        <f t="shared" si="0"/>
        <v>180523906</v>
      </c>
      <c r="Q25" s="12"/>
    </row>
    <row r="26" spans="1:17" ht="14.25">
      <c r="A26" s="8" t="s">
        <v>47</v>
      </c>
      <c r="B26" s="9"/>
      <c r="C26" s="9"/>
      <c r="D26" s="10" t="s">
        <v>80</v>
      </c>
      <c r="E26" s="11">
        <f>SUM(E27:E78)</f>
        <v>167970565</v>
      </c>
      <c r="F26" s="11">
        <f>SUM(F27:F78)</f>
        <v>115276059</v>
      </c>
      <c r="G26" s="11">
        <f t="shared" ref="G26:P26" si="1">SUM(G27:G78)</f>
        <v>50677395</v>
      </c>
      <c r="H26" s="11">
        <f t="shared" si="1"/>
        <v>4228482</v>
      </c>
      <c r="I26" s="11">
        <f>SUM(I27:I78)</f>
        <v>52694506</v>
      </c>
      <c r="J26" s="11">
        <f t="shared" si="1"/>
        <v>12553341</v>
      </c>
      <c r="K26" s="11">
        <f t="shared" si="1"/>
        <v>12226351</v>
      </c>
      <c r="L26" s="11">
        <f t="shared" si="1"/>
        <v>326990</v>
      </c>
      <c r="M26" s="11">
        <f t="shared" si="1"/>
        <v>186036</v>
      </c>
      <c r="N26" s="11">
        <f t="shared" si="1"/>
        <v>27905</v>
      </c>
      <c r="O26" s="11">
        <f t="shared" si="1"/>
        <v>12226351</v>
      </c>
      <c r="P26" s="11">
        <f t="shared" si="1"/>
        <v>180523906</v>
      </c>
    </row>
    <row r="27" spans="1:17" ht="38.25">
      <c r="A27" s="13" t="s">
        <v>81</v>
      </c>
      <c r="B27" s="13" t="s">
        <v>39</v>
      </c>
      <c r="C27" s="13" t="s">
        <v>4</v>
      </c>
      <c r="D27" s="14" t="s">
        <v>34</v>
      </c>
      <c r="E27" s="15">
        <f>F27+I27</f>
        <v>40193078</v>
      </c>
      <c r="F27" s="15">
        <f>38863142+15275+125000-2400-150000+400000-200+8961+407000-45000+50000+200000</f>
        <v>39871778</v>
      </c>
      <c r="G27" s="15">
        <v>27684209</v>
      </c>
      <c r="H27" s="15">
        <f>2229603-150000-150000+500000</f>
        <v>2429603</v>
      </c>
      <c r="I27" s="15">
        <f>99900+89000+2400+45000+85000</f>
        <v>321300</v>
      </c>
      <c r="J27" s="15">
        <f>L27+O27</f>
        <v>3090</v>
      </c>
      <c r="K27" s="15"/>
      <c r="L27" s="15">
        <v>3090</v>
      </c>
      <c r="M27" s="15"/>
      <c r="N27" s="15"/>
      <c r="O27" s="15"/>
      <c r="P27" s="15">
        <f t="shared" ref="P27:P58" si="2">E27+J27</f>
        <v>40196168</v>
      </c>
    </row>
    <row r="28" spans="1:17">
      <c r="A28" s="13" t="s">
        <v>82</v>
      </c>
      <c r="B28" s="13" t="s">
        <v>21</v>
      </c>
      <c r="C28" s="13" t="s">
        <v>7</v>
      </c>
      <c r="D28" s="14" t="s">
        <v>42</v>
      </c>
      <c r="E28" s="15">
        <f t="shared" ref="E28:E80" si="3">F28+I28</f>
        <v>1228190</v>
      </c>
      <c r="F28" s="15">
        <f>1046452+102720-71000+50000+22149+6869</f>
        <v>1157190</v>
      </c>
      <c r="G28" s="15"/>
      <c r="H28" s="15"/>
      <c r="I28" s="15">
        <v>71000</v>
      </c>
      <c r="J28" s="15">
        <f>L28+O28</f>
        <v>0</v>
      </c>
      <c r="K28" s="15"/>
      <c r="L28" s="15"/>
      <c r="M28" s="15"/>
      <c r="N28" s="15"/>
      <c r="O28" s="15"/>
      <c r="P28" s="15">
        <f t="shared" si="2"/>
        <v>1228190</v>
      </c>
    </row>
    <row r="29" spans="1:17">
      <c r="A29" s="13" t="s">
        <v>290</v>
      </c>
      <c r="B29" s="13" t="s">
        <v>134</v>
      </c>
      <c r="C29" s="13" t="s">
        <v>13</v>
      </c>
      <c r="D29" s="16" t="s">
        <v>57</v>
      </c>
      <c r="E29" s="15">
        <f t="shared" si="3"/>
        <v>378252</v>
      </c>
      <c r="F29" s="15">
        <v>353252</v>
      </c>
      <c r="G29" s="15">
        <f>254675+5980</f>
        <v>260655</v>
      </c>
      <c r="H29" s="15">
        <v>38748</v>
      </c>
      <c r="I29" s="15">
        <f>25000</f>
        <v>25000</v>
      </c>
      <c r="J29" s="15">
        <f>L29+O29</f>
        <v>0</v>
      </c>
      <c r="K29" s="15"/>
      <c r="L29" s="15"/>
      <c r="M29" s="15"/>
      <c r="N29" s="15"/>
      <c r="O29" s="15"/>
      <c r="P29" s="15">
        <f t="shared" si="2"/>
        <v>378252</v>
      </c>
    </row>
    <row r="30" spans="1:17">
      <c r="A30" s="13" t="s">
        <v>288</v>
      </c>
      <c r="B30" s="52">
        <v>2010</v>
      </c>
      <c r="C30" s="13" t="s">
        <v>9</v>
      </c>
      <c r="D30" s="14" t="s">
        <v>30</v>
      </c>
      <c r="E30" s="15">
        <f t="shared" si="3"/>
        <v>20438980</v>
      </c>
      <c r="F30" s="15">
        <f>19901776+53660+200000+83750+199794</f>
        <v>20438980</v>
      </c>
      <c r="G30" s="15"/>
      <c r="H30" s="15"/>
      <c r="I30" s="15"/>
      <c r="J30" s="15">
        <f>L30+O30</f>
        <v>0</v>
      </c>
      <c r="K30" s="15"/>
      <c r="L30" s="15"/>
      <c r="M30" s="15"/>
      <c r="N30" s="15"/>
      <c r="O30" s="15"/>
      <c r="P30" s="15">
        <f>E30+J30</f>
        <v>20438980</v>
      </c>
    </row>
    <row r="31" spans="1:17" ht="25.5" hidden="1">
      <c r="A31" s="13" t="s">
        <v>118</v>
      </c>
      <c r="B31" s="13" t="s">
        <v>43</v>
      </c>
      <c r="C31" s="13" t="s">
        <v>15</v>
      </c>
      <c r="D31" s="16" t="s">
        <v>44</v>
      </c>
      <c r="E31" s="15">
        <f t="shared" si="3"/>
        <v>0</v>
      </c>
      <c r="F31" s="15"/>
      <c r="G31" s="15"/>
      <c r="H31" s="15"/>
      <c r="I31" s="15"/>
      <c r="J31" s="15">
        <f t="shared" ref="J31:J59" si="4">L31+O31</f>
        <v>0</v>
      </c>
      <c r="K31" s="15"/>
      <c r="L31" s="15"/>
      <c r="M31" s="15"/>
      <c r="N31" s="15"/>
      <c r="O31" s="15"/>
      <c r="P31" s="15">
        <f t="shared" si="2"/>
        <v>0</v>
      </c>
    </row>
    <row r="32" spans="1:17" ht="28.5" customHeight="1">
      <c r="A32" s="13" t="s">
        <v>92</v>
      </c>
      <c r="B32" s="13" t="s">
        <v>45</v>
      </c>
      <c r="C32" s="13" t="s">
        <v>15</v>
      </c>
      <c r="D32" s="16" t="s">
        <v>33</v>
      </c>
      <c r="E32" s="15">
        <f t="shared" si="3"/>
        <v>300000</v>
      </c>
      <c r="F32" s="15">
        <v>300000</v>
      </c>
      <c r="G32" s="15"/>
      <c r="H32" s="15"/>
      <c r="I32" s="15"/>
      <c r="J32" s="15">
        <f t="shared" si="4"/>
        <v>0</v>
      </c>
      <c r="K32" s="15"/>
      <c r="L32" s="15"/>
      <c r="M32" s="15"/>
      <c r="N32" s="15"/>
      <c r="O32" s="15"/>
      <c r="P32" s="15">
        <f t="shared" si="2"/>
        <v>300000</v>
      </c>
    </row>
    <row r="33" spans="1:16" ht="25.5">
      <c r="A33" s="13" t="s">
        <v>93</v>
      </c>
      <c r="B33" s="52">
        <v>3050</v>
      </c>
      <c r="C33" s="13" t="s">
        <v>15</v>
      </c>
      <c r="D33" s="17" t="s">
        <v>177</v>
      </c>
      <c r="E33" s="15">
        <f t="shared" si="3"/>
        <v>59625</v>
      </c>
      <c r="F33" s="15">
        <v>59625</v>
      </c>
      <c r="G33" s="15"/>
      <c r="H33" s="15"/>
      <c r="I33" s="15"/>
      <c r="J33" s="15">
        <f t="shared" si="4"/>
        <v>0</v>
      </c>
      <c r="K33" s="15"/>
      <c r="L33" s="15"/>
      <c r="M33" s="15"/>
      <c r="N33" s="15"/>
      <c r="O33" s="15"/>
      <c r="P33" s="15">
        <f t="shared" si="2"/>
        <v>59625</v>
      </c>
    </row>
    <row r="34" spans="1:16" ht="51">
      <c r="A34" s="13" t="s">
        <v>253</v>
      </c>
      <c r="B34" s="13" t="s">
        <v>254</v>
      </c>
      <c r="C34" s="13" t="s">
        <v>8</v>
      </c>
      <c r="D34" s="16" t="s">
        <v>255</v>
      </c>
      <c r="E34" s="15">
        <f t="shared" si="3"/>
        <v>20170100</v>
      </c>
      <c r="F34" s="15">
        <f>16022243+31534+914190+621690+49143+2531300</f>
        <v>20170100</v>
      </c>
      <c r="G34" s="15">
        <f>11830520+749336+504260+2074800</f>
        <v>15158916</v>
      </c>
      <c r="H34" s="15">
        <f>1082614+49143</f>
        <v>1131757</v>
      </c>
      <c r="I34" s="15"/>
      <c r="J34" s="15">
        <f>L34+O34</f>
        <v>256700</v>
      </c>
      <c r="K34" s="15"/>
      <c r="L34" s="15">
        <v>256700</v>
      </c>
      <c r="M34" s="15">
        <v>186036</v>
      </c>
      <c r="N34" s="15">
        <v>27905</v>
      </c>
      <c r="O34" s="15"/>
      <c r="P34" s="15">
        <f>E34+J34</f>
        <v>20426800</v>
      </c>
    </row>
    <row r="35" spans="1:16" hidden="1">
      <c r="A35" s="13"/>
      <c r="B35" s="18"/>
      <c r="C35" s="13"/>
      <c r="D35" s="14"/>
      <c r="E35" s="15">
        <f t="shared" si="3"/>
        <v>0</v>
      </c>
      <c r="F35" s="15"/>
      <c r="G35" s="15"/>
      <c r="H35" s="15"/>
      <c r="I35" s="15"/>
      <c r="J35" s="15">
        <f t="shared" si="4"/>
        <v>0</v>
      </c>
      <c r="K35" s="15"/>
      <c r="L35" s="15"/>
      <c r="M35" s="15"/>
      <c r="N35" s="15"/>
      <c r="O35" s="15"/>
      <c r="P35" s="15">
        <f t="shared" si="2"/>
        <v>0</v>
      </c>
    </row>
    <row r="36" spans="1:16" ht="51">
      <c r="A36" s="13" t="s">
        <v>94</v>
      </c>
      <c r="B36" s="52">
        <v>3160</v>
      </c>
      <c r="C36" s="13" t="s">
        <v>17</v>
      </c>
      <c r="D36" s="14" t="s">
        <v>179</v>
      </c>
      <c r="E36" s="15">
        <f t="shared" si="3"/>
        <v>316800</v>
      </c>
      <c r="F36" s="15">
        <v>316800</v>
      </c>
      <c r="G36" s="11"/>
      <c r="H36" s="11"/>
      <c r="I36" s="11"/>
      <c r="J36" s="15">
        <f t="shared" si="4"/>
        <v>0</v>
      </c>
      <c r="K36" s="11"/>
      <c r="L36" s="11"/>
      <c r="M36" s="11"/>
      <c r="N36" s="11"/>
      <c r="O36" s="11"/>
      <c r="P36" s="15">
        <f t="shared" si="2"/>
        <v>316800</v>
      </c>
    </row>
    <row r="37" spans="1:16">
      <c r="A37" s="13" t="s">
        <v>212</v>
      </c>
      <c r="B37" s="13" t="s">
        <v>213</v>
      </c>
      <c r="C37" s="13" t="s">
        <v>5</v>
      </c>
      <c r="D37" s="16" t="s">
        <v>214</v>
      </c>
      <c r="E37" s="15">
        <f t="shared" si="3"/>
        <v>274285</v>
      </c>
      <c r="F37" s="15">
        <f>24285+200000+50000</f>
        <v>274285</v>
      </c>
      <c r="G37" s="15"/>
      <c r="H37" s="15"/>
      <c r="I37" s="15"/>
      <c r="J37" s="15">
        <f t="shared" si="4"/>
        <v>0</v>
      </c>
      <c r="K37" s="15"/>
      <c r="L37" s="15"/>
      <c r="M37" s="15"/>
      <c r="N37" s="15"/>
      <c r="O37" s="15"/>
      <c r="P37" s="15">
        <f t="shared" si="2"/>
        <v>274285</v>
      </c>
    </row>
    <row r="38" spans="1:16" ht="38.25" hidden="1">
      <c r="A38" s="13" t="s">
        <v>226</v>
      </c>
      <c r="B38" s="13" t="s">
        <v>227</v>
      </c>
      <c r="C38" s="13" t="s">
        <v>5</v>
      </c>
      <c r="D38" s="16" t="s">
        <v>228</v>
      </c>
      <c r="E38" s="15">
        <f t="shared" si="3"/>
        <v>0</v>
      </c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>
        <f t="shared" si="2"/>
        <v>0</v>
      </c>
    </row>
    <row r="39" spans="1:16" ht="52.5" customHeight="1">
      <c r="A39" s="13" t="s">
        <v>267</v>
      </c>
      <c r="B39" s="13" t="s">
        <v>268</v>
      </c>
      <c r="C39" s="13" t="s">
        <v>5</v>
      </c>
      <c r="D39" s="16" t="s">
        <v>269</v>
      </c>
      <c r="E39" s="15">
        <f t="shared" si="3"/>
        <v>800633</v>
      </c>
      <c r="F39" s="15">
        <v>800633</v>
      </c>
      <c r="G39" s="15">
        <v>656257</v>
      </c>
      <c r="H39" s="15"/>
      <c r="I39" s="15"/>
      <c r="J39" s="15"/>
      <c r="K39" s="15"/>
      <c r="L39" s="15"/>
      <c r="M39" s="15"/>
      <c r="N39" s="15"/>
      <c r="O39" s="15"/>
      <c r="P39" s="15">
        <f t="shared" si="2"/>
        <v>800633</v>
      </c>
    </row>
    <row r="40" spans="1:16">
      <c r="A40" s="13" t="s">
        <v>98</v>
      </c>
      <c r="B40" s="13" t="s">
        <v>95</v>
      </c>
      <c r="C40" s="13" t="s">
        <v>96</v>
      </c>
      <c r="D40" s="14" t="s">
        <v>97</v>
      </c>
      <c r="E40" s="15">
        <f t="shared" si="3"/>
        <v>30000</v>
      </c>
      <c r="F40" s="15">
        <v>30000</v>
      </c>
      <c r="G40" s="15"/>
      <c r="H40" s="15"/>
      <c r="I40" s="15"/>
      <c r="J40" s="15">
        <f t="shared" si="4"/>
        <v>0</v>
      </c>
      <c r="K40" s="15"/>
      <c r="L40" s="15"/>
      <c r="M40" s="15"/>
      <c r="N40" s="15"/>
      <c r="O40" s="15"/>
      <c r="P40" s="15">
        <f t="shared" si="2"/>
        <v>30000</v>
      </c>
    </row>
    <row r="41" spans="1:16" ht="38.25">
      <c r="A41" s="13" t="s">
        <v>209</v>
      </c>
      <c r="B41" s="13" t="s">
        <v>211</v>
      </c>
      <c r="C41" s="13" t="s">
        <v>15</v>
      </c>
      <c r="D41" s="14" t="s">
        <v>210</v>
      </c>
      <c r="E41" s="15">
        <f t="shared" si="3"/>
        <v>64420</v>
      </c>
      <c r="F41" s="15">
        <v>64420</v>
      </c>
      <c r="G41" s="15"/>
      <c r="H41" s="15"/>
      <c r="I41" s="15"/>
      <c r="J41" s="15"/>
      <c r="K41" s="15"/>
      <c r="L41" s="15"/>
      <c r="M41" s="15"/>
      <c r="N41" s="15"/>
      <c r="O41" s="15"/>
      <c r="P41" s="15">
        <f t="shared" si="2"/>
        <v>64420</v>
      </c>
    </row>
    <row r="42" spans="1:16" hidden="1">
      <c r="A42" s="13"/>
      <c r="B42" s="13"/>
      <c r="C42" s="13"/>
      <c r="D42" s="16"/>
      <c r="E42" s="15">
        <f t="shared" si="3"/>
        <v>0</v>
      </c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</row>
    <row r="43" spans="1:16" ht="27.75" customHeight="1">
      <c r="A43" s="13" t="s">
        <v>86</v>
      </c>
      <c r="B43" s="13" t="s">
        <v>55</v>
      </c>
      <c r="C43" s="13" t="s">
        <v>16</v>
      </c>
      <c r="D43" s="16" t="s">
        <v>304</v>
      </c>
      <c r="E43" s="15">
        <f t="shared" si="3"/>
        <v>2075831</v>
      </c>
      <c r="F43" s="15">
        <f>1509999+250000+80000+20000+230882+4950-20000</f>
        <v>2075831</v>
      </c>
      <c r="G43" s="15"/>
      <c r="H43" s="15"/>
      <c r="I43" s="15"/>
      <c r="J43" s="15">
        <f t="shared" si="4"/>
        <v>0</v>
      </c>
      <c r="K43" s="15"/>
      <c r="L43" s="15"/>
      <c r="M43" s="15"/>
      <c r="N43" s="15"/>
      <c r="O43" s="15"/>
      <c r="P43" s="15">
        <f t="shared" si="2"/>
        <v>2075831</v>
      </c>
    </row>
    <row r="44" spans="1:16" ht="46.5" hidden="1" customHeight="1">
      <c r="A44" s="13" t="s">
        <v>270</v>
      </c>
      <c r="B44" s="13" t="s">
        <v>271</v>
      </c>
      <c r="C44" s="13" t="s">
        <v>8</v>
      </c>
      <c r="D44" s="16" t="s">
        <v>272</v>
      </c>
      <c r="E44" s="15">
        <f t="shared" si="3"/>
        <v>0</v>
      </c>
      <c r="F44" s="15"/>
      <c r="G44" s="15"/>
      <c r="H44" s="15"/>
      <c r="I44" s="15"/>
      <c r="J44" s="15">
        <f t="shared" si="4"/>
        <v>0</v>
      </c>
      <c r="K44" s="15"/>
      <c r="L44" s="15"/>
      <c r="M44" s="15"/>
      <c r="N44" s="15"/>
      <c r="O44" s="15"/>
      <c r="P44" s="15">
        <f t="shared" si="2"/>
        <v>0</v>
      </c>
    </row>
    <row r="45" spans="1:16" ht="27" customHeight="1">
      <c r="A45" s="13" t="s">
        <v>232</v>
      </c>
      <c r="B45" s="13" t="s">
        <v>233</v>
      </c>
      <c r="C45" s="13" t="s">
        <v>19</v>
      </c>
      <c r="D45" s="16" t="s">
        <v>234</v>
      </c>
      <c r="E45" s="15">
        <f t="shared" si="3"/>
        <v>15265736</v>
      </c>
      <c r="F45" s="15">
        <f>10739336+12050+833000+50000+13740-38600+5500+3217010+135100-220000</f>
        <v>14747136</v>
      </c>
      <c r="G45" s="15">
        <v>6917358</v>
      </c>
      <c r="H45" s="15">
        <v>608374</v>
      </c>
      <c r="I45" s="15">
        <f>60000+200000+38600+220000</f>
        <v>518600</v>
      </c>
      <c r="J45" s="15">
        <f t="shared" si="4"/>
        <v>13800</v>
      </c>
      <c r="K45" s="15"/>
      <c r="L45" s="15">
        <v>13800</v>
      </c>
      <c r="M45" s="15"/>
      <c r="N45" s="15"/>
      <c r="O45" s="15"/>
      <c r="P45" s="15">
        <f t="shared" si="2"/>
        <v>15279536</v>
      </c>
    </row>
    <row r="46" spans="1:16" ht="27" customHeight="1">
      <c r="A46" s="13" t="s">
        <v>239</v>
      </c>
      <c r="B46" s="13" t="s">
        <v>59</v>
      </c>
      <c r="C46" s="13" t="s">
        <v>19</v>
      </c>
      <c r="D46" s="19" t="s">
        <v>60</v>
      </c>
      <c r="E46" s="15">
        <f t="shared" si="3"/>
        <v>2031000</v>
      </c>
      <c r="F46" s="15">
        <f>1000000+81000+500000+450000</f>
        <v>2031000</v>
      </c>
      <c r="G46" s="15"/>
      <c r="H46" s="15"/>
      <c r="I46" s="15"/>
      <c r="J46" s="15">
        <f t="shared" si="4"/>
        <v>0</v>
      </c>
      <c r="K46" s="15"/>
      <c r="L46" s="15"/>
      <c r="M46" s="15"/>
      <c r="N46" s="15"/>
      <c r="O46" s="15"/>
      <c r="P46" s="15">
        <f t="shared" si="2"/>
        <v>2031000</v>
      </c>
    </row>
    <row r="47" spans="1:16" ht="27" customHeight="1">
      <c r="A47" s="13" t="s">
        <v>305</v>
      </c>
      <c r="B47" s="13" t="s">
        <v>306</v>
      </c>
      <c r="C47" s="53" t="s">
        <v>19</v>
      </c>
      <c r="D47" s="62" t="s">
        <v>307</v>
      </c>
      <c r="E47" s="15">
        <f t="shared" si="3"/>
        <v>67000</v>
      </c>
      <c r="F47" s="15">
        <f>40000+27000</f>
        <v>67000</v>
      </c>
      <c r="G47" s="15"/>
      <c r="H47" s="15"/>
      <c r="I47" s="15"/>
      <c r="J47" s="15">
        <f t="shared" si="4"/>
        <v>0</v>
      </c>
      <c r="K47" s="15"/>
      <c r="L47" s="15"/>
      <c r="M47" s="15"/>
      <c r="N47" s="15"/>
      <c r="O47" s="15"/>
      <c r="P47" s="15">
        <f t="shared" si="2"/>
        <v>67000</v>
      </c>
    </row>
    <row r="48" spans="1:16" ht="27" customHeight="1">
      <c r="A48" s="13" t="s">
        <v>249</v>
      </c>
      <c r="B48" s="13" t="s">
        <v>250</v>
      </c>
      <c r="C48" s="13" t="s">
        <v>101</v>
      </c>
      <c r="D48" s="19" t="s">
        <v>251</v>
      </c>
      <c r="E48" s="15">
        <f t="shared" si="3"/>
        <v>14369921</v>
      </c>
      <c r="F48" s="15"/>
      <c r="G48" s="15"/>
      <c r="H48" s="15"/>
      <c r="I48" s="15">
        <f>13343921+90000+36000+216000-216000+900000</f>
        <v>14369921</v>
      </c>
      <c r="J48" s="15">
        <f t="shared" si="4"/>
        <v>0</v>
      </c>
      <c r="K48" s="15"/>
      <c r="L48" s="15"/>
      <c r="M48" s="15"/>
      <c r="N48" s="15"/>
      <c r="O48" s="15"/>
      <c r="P48" s="15">
        <f t="shared" si="2"/>
        <v>14369921</v>
      </c>
    </row>
    <row r="49" spans="1:16" ht="27" customHeight="1">
      <c r="A49" s="13" t="s">
        <v>291</v>
      </c>
      <c r="B49" s="13" t="s">
        <v>292</v>
      </c>
      <c r="C49" s="13" t="s">
        <v>101</v>
      </c>
      <c r="D49" s="19" t="s">
        <v>303</v>
      </c>
      <c r="E49" s="15">
        <f t="shared" si="3"/>
        <v>294600</v>
      </c>
      <c r="F49" s="15">
        <v>294600</v>
      </c>
      <c r="G49" s="15"/>
      <c r="H49" s="15"/>
      <c r="I49" s="15"/>
      <c r="J49" s="15"/>
      <c r="K49" s="15"/>
      <c r="L49" s="15"/>
      <c r="M49" s="15"/>
      <c r="N49" s="15"/>
      <c r="O49" s="15"/>
      <c r="P49" s="15">
        <f t="shared" si="2"/>
        <v>294600</v>
      </c>
    </row>
    <row r="50" spans="1:16" ht="39.75" customHeight="1">
      <c r="A50" s="13" t="s">
        <v>224</v>
      </c>
      <c r="B50" s="13" t="s">
        <v>223</v>
      </c>
      <c r="C50" s="13" t="s">
        <v>101</v>
      </c>
      <c r="D50" s="16" t="s">
        <v>225</v>
      </c>
      <c r="E50" s="15">
        <f t="shared" si="3"/>
        <v>62000</v>
      </c>
      <c r="F50" s="15">
        <f>30000+32000</f>
        <v>62000</v>
      </c>
      <c r="G50" s="15"/>
      <c r="H50" s="15"/>
      <c r="I50" s="15"/>
      <c r="J50" s="15">
        <f t="shared" si="4"/>
        <v>0</v>
      </c>
      <c r="K50" s="15"/>
      <c r="L50" s="15"/>
      <c r="M50" s="15"/>
      <c r="N50" s="15"/>
      <c r="O50" s="15"/>
      <c r="P50" s="15">
        <f t="shared" si="2"/>
        <v>62000</v>
      </c>
    </row>
    <row r="51" spans="1:16" ht="39.75" customHeight="1">
      <c r="A51" s="13" t="s">
        <v>314</v>
      </c>
      <c r="B51" s="13" t="s">
        <v>312</v>
      </c>
      <c r="C51" s="13" t="s">
        <v>101</v>
      </c>
      <c r="D51" s="16" t="s">
        <v>313</v>
      </c>
      <c r="E51" s="15">
        <f t="shared" si="3"/>
        <v>879170</v>
      </c>
      <c r="F51" s="15"/>
      <c r="G51" s="15"/>
      <c r="H51" s="15"/>
      <c r="I51" s="15">
        <f>748000+11220+92500+27450</f>
        <v>879170</v>
      </c>
      <c r="J51" s="15"/>
      <c r="K51" s="15"/>
      <c r="L51" s="15"/>
      <c r="M51" s="15"/>
      <c r="N51" s="15"/>
      <c r="O51" s="15"/>
      <c r="P51" s="15">
        <f t="shared" si="2"/>
        <v>879170</v>
      </c>
    </row>
    <row r="52" spans="1:16" ht="18" customHeight="1">
      <c r="A52" s="13" t="s">
        <v>103</v>
      </c>
      <c r="B52" s="13" t="s">
        <v>102</v>
      </c>
      <c r="C52" s="13" t="s">
        <v>101</v>
      </c>
      <c r="D52" s="7" t="s">
        <v>100</v>
      </c>
      <c r="E52" s="15">
        <f t="shared" si="3"/>
        <v>30358115</v>
      </c>
      <c r="F52" s="59">
        <f>20000+258000</f>
        <v>278000</v>
      </c>
      <c r="G52" s="20"/>
      <c r="H52" s="59">
        <v>20000</v>
      </c>
      <c r="I52" s="59">
        <f>36200951+399000+1957732+149900+125000-705908-11220-1184521-2946819+697000-50000-376000-175000-4000000</f>
        <v>30080115</v>
      </c>
      <c r="J52" s="15">
        <f t="shared" si="4"/>
        <v>0</v>
      </c>
      <c r="K52" s="15"/>
      <c r="L52" s="15"/>
      <c r="M52" s="15"/>
      <c r="N52" s="15"/>
      <c r="O52" s="15"/>
      <c r="P52" s="15">
        <f t="shared" si="2"/>
        <v>30358115</v>
      </c>
    </row>
    <row r="53" spans="1:16" ht="19.5" customHeight="1">
      <c r="A53" s="13" t="s">
        <v>240</v>
      </c>
      <c r="B53" s="13" t="s">
        <v>241</v>
      </c>
      <c r="C53" s="13" t="s">
        <v>242</v>
      </c>
      <c r="D53" s="16" t="s">
        <v>243</v>
      </c>
      <c r="E53" s="15">
        <f t="shared" si="3"/>
        <v>7000</v>
      </c>
      <c r="F53" s="15">
        <v>7000</v>
      </c>
      <c r="G53" s="15"/>
      <c r="H53" s="15"/>
      <c r="I53" s="15"/>
      <c r="J53" s="15">
        <f t="shared" si="4"/>
        <v>0</v>
      </c>
      <c r="K53" s="15"/>
      <c r="L53" s="15"/>
      <c r="M53" s="15"/>
      <c r="N53" s="15"/>
      <c r="O53" s="15"/>
      <c r="P53" s="15">
        <f t="shared" si="2"/>
        <v>7000</v>
      </c>
    </row>
    <row r="54" spans="1:16" ht="54.75" hidden="1" customHeight="1">
      <c r="A54" s="13" t="s">
        <v>161</v>
      </c>
      <c r="B54" s="13" t="s">
        <v>65</v>
      </c>
      <c r="C54" s="13" t="s">
        <v>66</v>
      </c>
      <c r="D54" s="16" t="s">
        <v>67</v>
      </c>
      <c r="E54" s="15">
        <f t="shared" si="3"/>
        <v>0</v>
      </c>
      <c r="F54" s="15"/>
      <c r="G54" s="15"/>
      <c r="H54" s="15"/>
      <c r="I54" s="15"/>
      <c r="J54" s="15">
        <f t="shared" si="4"/>
        <v>0</v>
      </c>
      <c r="K54" s="15"/>
      <c r="L54" s="15"/>
      <c r="M54" s="15"/>
      <c r="N54" s="15"/>
      <c r="O54" s="15"/>
      <c r="P54" s="15">
        <f t="shared" si="2"/>
        <v>0</v>
      </c>
    </row>
    <row r="55" spans="1:16" ht="54.75" customHeight="1">
      <c r="A55" s="13" t="s">
        <v>265</v>
      </c>
      <c r="B55" s="13" t="s">
        <v>266</v>
      </c>
      <c r="C55" s="13" t="s">
        <v>242</v>
      </c>
      <c r="D55" s="16" t="s">
        <v>289</v>
      </c>
      <c r="E55" s="15">
        <f t="shared" si="3"/>
        <v>0</v>
      </c>
      <c r="F55" s="15"/>
      <c r="G55" s="15"/>
      <c r="H55" s="15"/>
      <c r="I55" s="15"/>
      <c r="J55" s="15">
        <f t="shared" si="4"/>
        <v>8935377</v>
      </c>
      <c r="K55" s="15">
        <f>7435377+1500000</f>
        <v>8935377</v>
      </c>
      <c r="L55" s="15"/>
      <c r="M55" s="15"/>
      <c r="N55" s="15"/>
      <c r="O55" s="15">
        <f>7435377+1500000</f>
        <v>8935377</v>
      </c>
      <c r="P55" s="15">
        <f t="shared" si="2"/>
        <v>8935377</v>
      </c>
    </row>
    <row r="56" spans="1:16" ht="18" customHeight="1">
      <c r="A56" s="13" t="s">
        <v>152</v>
      </c>
      <c r="B56" s="13" t="s">
        <v>149</v>
      </c>
      <c r="C56" s="13" t="s">
        <v>24</v>
      </c>
      <c r="D56" s="7" t="s">
        <v>155</v>
      </c>
      <c r="E56" s="15">
        <f t="shared" si="3"/>
        <v>389000</v>
      </c>
      <c r="F56" s="15">
        <f>89000+50000+40000</f>
        <v>179000</v>
      </c>
      <c r="G56" s="15"/>
      <c r="H56" s="15"/>
      <c r="I56" s="15">
        <f>10000+200000</f>
        <v>210000</v>
      </c>
      <c r="J56" s="15">
        <f t="shared" si="4"/>
        <v>0</v>
      </c>
      <c r="K56" s="15"/>
      <c r="L56" s="15"/>
      <c r="M56" s="15"/>
      <c r="N56" s="15"/>
      <c r="O56" s="15"/>
      <c r="P56" s="15">
        <f t="shared" si="2"/>
        <v>389000</v>
      </c>
    </row>
    <row r="57" spans="1:16" ht="18" hidden="1" customHeight="1">
      <c r="A57" s="13" t="s">
        <v>153</v>
      </c>
      <c r="B57" s="13" t="s">
        <v>148</v>
      </c>
      <c r="C57" s="13" t="s">
        <v>79</v>
      </c>
      <c r="D57" s="7" t="s">
        <v>170</v>
      </c>
      <c r="E57" s="15">
        <f t="shared" si="3"/>
        <v>0</v>
      </c>
      <c r="F57" s="15"/>
      <c r="G57" s="15"/>
      <c r="H57" s="15"/>
      <c r="I57" s="15"/>
      <c r="J57" s="15">
        <f t="shared" si="4"/>
        <v>0</v>
      </c>
      <c r="K57" s="15"/>
      <c r="L57" s="15"/>
      <c r="M57" s="15"/>
      <c r="N57" s="15"/>
      <c r="O57" s="15"/>
      <c r="P57" s="15">
        <f t="shared" si="2"/>
        <v>0</v>
      </c>
    </row>
    <row r="58" spans="1:16" ht="18" hidden="1" customHeight="1">
      <c r="A58" s="13" t="s">
        <v>154</v>
      </c>
      <c r="B58" s="13" t="s">
        <v>147</v>
      </c>
      <c r="C58" s="13" t="s">
        <v>79</v>
      </c>
      <c r="D58" s="7" t="s">
        <v>171</v>
      </c>
      <c r="E58" s="15">
        <f t="shared" si="3"/>
        <v>0</v>
      </c>
      <c r="F58" s="15"/>
      <c r="G58" s="15"/>
      <c r="H58" s="15"/>
      <c r="I58" s="15"/>
      <c r="J58" s="15">
        <f>L58+O58</f>
        <v>0</v>
      </c>
      <c r="K58" s="15"/>
      <c r="L58" s="15"/>
      <c r="M58" s="15"/>
      <c r="N58" s="15"/>
      <c r="O58" s="15"/>
      <c r="P58" s="15">
        <f t="shared" si="2"/>
        <v>0</v>
      </c>
    </row>
    <row r="59" spans="1:16" ht="31.7" customHeight="1">
      <c r="A59" s="13" t="s">
        <v>159</v>
      </c>
      <c r="B59" s="13" t="s">
        <v>158</v>
      </c>
      <c r="C59" s="13" t="s">
        <v>79</v>
      </c>
      <c r="D59" s="16" t="s">
        <v>160</v>
      </c>
      <c r="E59" s="15">
        <f t="shared" si="3"/>
        <v>0</v>
      </c>
      <c r="F59" s="15"/>
      <c r="G59" s="15"/>
      <c r="H59" s="15"/>
      <c r="I59" s="15"/>
      <c r="J59" s="15">
        <f t="shared" si="4"/>
        <v>74974</v>
      </c>
      <c r="K59" s="15">
        <v>74974</v>
      </c>
      <c r="L59" s="15"/>
      <c r="M59" s="15"/>
      <c r="N59" s="15"/>
      <c r="O59" s="15">
        <v>74974</v>
      </c>
      <c r="P59" s="15">
        <f>E59+J59</f>
        <v>74974</v>
      </c>
    </row>
    <row r="60" spans="1:16" ht="26.45" hidden="1" customHeight="1">
      <c r="A60" s="13" t="s">
        <v>111</v>
      </c>
      <c r="B60" s="13" t="s">
        <v>112</v>
      </c>
      <c r="C60" s="13" t="s">
        <v>113</v>
      </c>
      <c r="D60" s="16" t="s">
        <v>119</v>
      </c>
      <c r="E60" s="15">
        <f t="shared" si="3"/>
        <v>0</v>
      </c>
      <c r="F60" s="15"/>
      <c r="G60" s="15"/>
      <c r="H60" s="15"/>
      <c r="I60" s="15"/>
      <c r="J60" s="15">
        <f t="shared" ref="J60:J76" si="5">L60+O60</f>
        <v>0</v>
      </c>
      <c r="K60" s="15"/>
      <c r="L60" s="15"/>
      <c r="M60" s="15"/>
      <c r="N60" s="15"/>
      <c r="O60" s="15"/>
      <c r="P60" s="15">
        <f t="shared" ref="P60:P76" si="6">E60+J60</f>
        <v>0</v>
      </c>
    </row>
    <row r="61" spans="1:16" ht="26.45" hidden="1" customHeight="1">
      <c r="A61" s="13" t="s">
        <v>173</v>
      </c>
      <c r="B61" s="13" t="s">
        <v>174</v>
      </c>
      <c r="C61" s="13" t="s">
        <v>176</v>
      </c>
      <c r="D61" s="16" t="s">
        <v>175</v>
      </c>
      <c r="E61" s="15">
        <f t="shared" si="3"/>
        <v>0</v>
      </c>
      <c r="F61" s="15"/>
      <c r="G61" s="15"/>
      <c r="H61" s="15"/>
      <c r="I61" s="15"/>
      <c r="J61" s="15">
        <f t="shared" si="5"/>
        <v>0</v>
      </c>
      <c r="K61" s="15"/>
      <c r="L61" s="15"/>
      <c r="M61" s="15"/>
      <c r="N61" s="15"/>
      <c r="O61" s="15"/>
      <c r="P61" s="15">
        <f>E61+J61</f>
        <v>0</v>
      </c>
    </row>
    <row r="62" spans="1:16" ht="18.75" hidden="1" customHeight="1">
      <c r="A62" s="13" t="s">
        <v>154</v>
      </c>
      <c r="B62" s="13" t="s">
        <v>147</v>
      </c>
      <c r="C62" s="13" t="s">
        <v>79</v>
      </c>
      <c r="D62" s="16" t="s">
        <v>171</v>
      </c>
      <c r="E62" s="15">
        <f t="shared" si="3"/>
        <v>0</v>
      </c>
      <c r="F62" s="15"/>
      <c r="G62" s="15"/>
      <c r="H62" s="15"/>
      <c r="I62" s="15"/>
      <c r="J62" s="15">
        <f t="shared" si="5"/>
        <v>0</v>
      </c>
      <c r="K62" s="15"/>
      <c r="L62" s="15"/>
      <c r="M62" s="15"/>
      <c r="N62" s="15"/>
      <c r="O62" s="15"/>
      <c r="P62" s="15">
        <f>E62+J62</f>
        <v>0</v>
      </c>
    </row>
    <row r="63" spans="1:16" ht="26.45" hidden="1" customHeight="1">
      <c r="A63" s="13" t="s">
        <v>159</v>
      </c>
      <c r="B63" s="13" t="s">
        <v>158</v>
      </c>
      <c r="C63" s="13" t="s">
        <v>79</v>
      </c>
      <c r="D63" s="16" t="s">
        <v>160</v>
      </c>
      <c r="E63" s="15">
        <f t="shared" si="3"/>
        <v>0</v>
      </c>
      <c r="F63" s="15"/>
      <c r="G63" s="15"/>
      <c r="H63" s="15"/>
      <c r="I63" s="15"/>
      <c r="J63" s="15">
        <f t="shared" si="5"/>
        <v>0</v>
      </c>
      <c r="K63" s="15"/>
      <c r="L63" s="15"/>
      <c r="M63" s="15"/>
      <c r="N63" s="15"/>
      <c r="O63" s="15"/>
      <c r="P63" s="15">
        <f>E63+J63</f>
        <v>0</v>
      </c>
    </row>
    <row r="64" spans="1:16" ht="26.45" hidden="1" customHeight="1">
      <c r="A64" s="13" t="s">
        <v>162</v>
      </c>
      <c r="B64" s="13" t="s">
        <v>163</v>
      </c>
      <c r="C64" s="13" t="s">
        <v>20</v>
      </c>
      <c r="D64" s="16" t="s">
        <v>164</v>
      </c>
      <c r="E64" s="15">
        <f t="shared" si="3"/>
        <v>0</v>
      </c>
      <c r="F64" s="15"/>
      <c r="G64" s="15"/>
      <c r="H64" s="15"/>
      <c r="I64" s="15"/>
      <c r="J64" s="15">
        <f>L64+O64</f>
        <v>0</v>
      </c>
      <c r="K64" s="15"/>
      <c r="L64" s="15"/>
      <c r="M64" s="15"/>
      <c r="N64" s="15"/>
      <c r="O64" s="15"/>
      <c r="P64" s="15">
        <f>E64+J64</f>
        <v>0</v>
      </c>
    </row>
    <row r="65" spans="1:16" ht="17.45" customHeight="1">
      <c r="A65" s="13" t="s">
        <v>106</v>
      </c>
      <c r="B65" s="13" t="s">
        <v>105</v>
      </c>
      <c r="C65" s="13" t="s">
        <v>20</v>
      </c>
      <c r="D65" s="16" t="s">
        <v>104</v>
      </c>
      <c r="E65" s="15">
        <f t="shared" si="3"/>
        <v>0</v>
      </c>
      <c r="F65" s="15"/>
      <c r="G65" s="15"/>
      <c r="H65" s="15"/>
      <c r="I65" s="15"/>
      <c r="J65" s="15">
        <f t="shared" si="5"/>
        <v>3216000</v>
      </c>
      <c r="K65" s="15">
        <f>3000000+216000</f>
        <v>3216000</v>
      </c>
      <c r="L65" s="15"/>
      <c r="M65" s="15"/>
      <c r="N65" s="15"/>
      <c r="O65" s="15">
        <f>3000000+216000</f>
        <v>3216000</v>
      </c>
      <c r="P65" s="15">
        <f t="shared" si="6"/>
        <v>3216000</v>
      </c>
    </row>
    <row r="66" spans="1:16" ht="20.25" customHeight="1">
      <c r="A66" s="13" t="s">
        <v>84</v>
      </c>
      <c r="B66" s="13" t="s">
        <v>40</v>
      </c>
      <c r="C66" s="13" t="s">
        <v>20</v>
      </c>
      <c r="D66" s="21" t="s">
        <v>107</v>
      </c>
      <c r="E66" s="15">
        <f t="shared" si="3"/>
        <v>93222</v>
      </c>
      <c r="F66" s="15">
        <v>93222</v>
      </c>
      <c r="G66" s="11"/>
      <c r="H66" s="11"/>
      <c r="I66" s="11"/>
      <c r="J66" s="15">
        <f t="shared" si="5"/>
        <v>0</v>
      </c>
      <c r="K66" s="15"/>
      <c r="L66" s="11"/>
      <c r="M66" s="11"/>
      <c r="N66" s="11"/>
      <c r="O66" s="15"/>
      <c r="P66" s="15">
        <f t="shared" si="6"/>
        <v>93222</v>
      </c>
    </row>
    <row r="67" spans="1:16" ht="80.25" hidden="1" customHeight="1">
      <c r="A67" s="13" t="s">
        <v>195</v>
      </c>
      <c r="B67" s="13" t="s">
        <v>196</v>
      </c>
      <c r="C67" s="13" t="s">
        <v>20</v>
      </c>
      <c r="D67" s="21" t="s">
        <v>197</v>
      </c>
      <c r="E67" s="15">
        <f t="shared" si="3"/>
        <v>0</v>
      </c>
      <c r="F67" s="15"/>
      <c r="G67" s="11"/>
      <c r="H67" s="11"/>
      <c r="I67" s="11"/>
      <c r="J67" s="15">
        <f t="shared" si="5"/>
        <v>0</v>
      </c>
      <c r="K67" s="15"/>
      <c r="L67" s="15"/>
      <c r="M67" s="11"/>
      <c r="N67" s="11"/>
      <c r="O67" s="15"/>
      <c r="P67" s="15">
        <f t="shared" si="6"/>
        <v>0</v>
      </c>
    </row>
    <row r="68" spans="1:16" ht="20.25" customHeight="1">
      <c r="A68" s="13" t="s">
        <v>109</v>
      </c>
      <c r="B68" s="13" t="s">
        <v>110</v>
      </c>
      <c r="C68" s="13" t="s">
        <v>20</v>
      </c>
      <c r="D68" s="21" t="s">
        <v>108</v>
      </c>
      <c r="E68" s="15">
        <f t="shared" si="3"/>
        <v>141039</v>
      </c>
      <c r="F68" s="15">
        <f>112000-12000+50000-8961</f>
        <v>141039</v>
      </c>
      <c r="G68" s="11"/>
      <c r="H68" s="11"/>
      <c r="I68" s="11"/>
      <c r="J68" s="15">
        <f t="shared" si="5"/>
        <v>0</v>
      </c>
      <c r="K68" s="15"/>
      <c r="L68" s="15"/>
      <c r="M68" s="11"/>
      <c r="N68" s="11"/>
      <c r="O68" s="15"/>
      <c r="P68" s="15">
        <f t="shared" si="6"/>
        <v>141039</v>
      </c>
    </row>
    <row r="69" spans="1:16" ht="27.75" customHeight="1">
      <c r="A69" s="13" t="s">
        <v>191</v>
      </c>
      <c r="B69" s="13" t="s">
        <v>192</v>
      </c>
      <c r="C69" s="13" t="s">
        <v>193</v>
      </c>
      <c r="D69" s="21" t="s">
        <v>194</v>
      </c>
      <c r="E69" s="15">
        <f t="shared" si="3"/>
        <v>805700</v>
      </c>
      <c r="F69" s="15">
        <f>249800+60000+195900+150000+150000</f>
        <v>805700</v>
      </c>
      <c r="G69" s="11"/>
      <c r="H69" s="15"/>
      <c r="I69" s="11"/>
      <c r="J69" s="15">
        <f t="shared" si="5"/>
        <v>0</v>
      </c>
      <c r="K69" s="15"/>
      <c r="L69" s="15"/>
      <c r="M69" s="11"/>
      <c r="N69" s="11"/>
      <c r="O69" s="15"/>
      <c r="P69" s="15">
        <f t="shared" si="6"/>
        <v>805700</v>
      </c>
    </row>
    <row r="70" spans="1:16" ht="21" customHeight="1">
      <c r="A70" s="13" t="s">
        <v>229</v>
      </c>
      <c r="B70" s="13" t="s">
        <v>230</v>
      </c>
      <c r="C70" s="13" t="s">
        <v>193</v>
      </c>
      <c r="D70" s="22" t="s">
        <v>231</v>
      </c>
      <c r="E70" s="15">
        <f t="shared" si="3"/>
        <v>1349468</v>
      </c>
      <c r="F70" s="15">
        <f>1299468+50000</f>
        <v>1349468</v>
      </c>
      <c r="G70" s="11"/>
      <c r="H70" s="15"/>
      <c r="I70" s="11"/>
      <c r="J70" s="15">
        <f t="shared" si="5"/>
        <v>0</v>
      </c>
      <c r="K70" s="15"/>
      <c r="L70" s="15"/>
      <c r="M70" s="11"/>
      <c r="N70" s="11"/>
      <c r="O70" s="15"/>
      <c r="P70" s="15">
        <f t="shared" si="6"/>
        <v>1349468</v>
      </c>
    </row>
    <row r="71" spans="1:16" ht="15.75" hidden="1" customHeight="1">
      <c r="A71" s="13" t="s">
        <v>236</v>
      </c>
      <c r="B71" s="13" t="s">
        <v>237</v>
      </c>
      <c r="C71" s="13" t="s">
        <v>189</v>
      </c>
      <c r="D71" s="22" t="s">
        <v>238</v>
      </c>
      <c r="E71" s="15">
        <f t="shared" si="3"/>
        <v>0</v>
      </c>
      <c r="F71" s="15"/>
      <c r="G71" s="11"/>
      <c r="H71" s="15"/>
      <c r="I71" s="11"/>
      <c r="J71" s="15">
        <f t="shared" si="5"/>
        <v>0</v>
      </c>
      <c r="K71" s="15"/>
      <c r="L71" s="15"/>
      <c r="M71" s="11"/>
      <c r="N71" s="11"/>
      <c r="O71" s="15"/>
      <c r="P71" s="15">
        <f t="shared" si="6"/>
        <v>0</v>
      </c>
    </row>
    <row r="72" spans="1:16" ht="20.25" customHeight="1">
      <c r="A72" s="13" t="s">
        <v>187</v>
      </c>
      <c r="B72" s="13" t="s">
        <v>188</v>
      </c>
      <c r="C72" s="13" t="s">
        <v>189</v>
      </c>
      <c r="D72" s="21" t="s">
        <v>190</v>
      </c>
      <c r="E72" s="15">
        <f t="shared" si="3"/>
        <v>904176</v>
      </c>
      <c r="F72" s="15">
        <f>360000+109276</f>
        <v>469276</v>
      </c>
      <c r="G72" s="11"/>
      <c r="H72" s="11"/>
      <c r="I72" s="15">
        <f>934900-500000</f>
        <v>434900</v>
      </c>
      <c r="J72" s="15">
        <f t="shared" si="5"/>
        <v>0</v>
      </c>
      <c r="K72" s="15"/>
      <c r="L72" s="15"/>
      <c r="M72" s="11"/>
      <c r="N72" s="11"/>
      <c r="O72" s="15"/>
      <c r="P72" s="15">
        <f t="shared" si="6"/>
        <v>904176</v>
      </c>
    </row>
    <row r="73" spans="1:16" ht="20.25" customHeight="1">
      <c r="A73" s="13" t="s">
        <v>114</v>
      </c>
      <c r="B73" s="13" t="s">
        <v>115</v>
      </c>
      <c r="C73" s="13" t="s">
        <v>116</v>
      </c>
      <c r="D73" s="21" t="s">
        <v>117</v>
      </c>
      <c r="E73" s="15">
        <f t="shared" si="3"/>
        <v>0</v>
      </c>
      <c r="F73" s="15"/>
      <c r="G73" s="11"/>
      <c r="H73" s="11"/>
      <c r="I73" s="11"/>
      <c r="J73" s="15">
        <f t="shared" si="5"/>
        <v>53400</v>
      </c>
      <c r="K73" s="15"/>
      <c r="L73" s="15">
        <v>53400</v>
      </c>
      <c r="M73" s="11"/>
      <c r="N73" s="11"/>
      <c r="O73" s="15"/>
      <c r="P73" s="15">
        <f t="shared" si="6"/>
        <v>53400</v>
      </c>
    </row>
    <row r="74" spans="1:16" ht="16.5" customHeight="1">
      <c r="A74" s="13" t="s">
        <v>83</v>
      </c>
      <c r="B74" s="13" t="s">
        <v>41</v>
      </c>
      <c r="C74" s="13" t="s">
        <v>6</v>
      </c>
      <c r="D74" s="16" t="s">
        <v>252</v>
      </c>
      <c r="E74" s="15">
        <f t="shared" si="3"/>
        <v>1754824</v>
      </c>
      <c r="F74" s="15">
        <f>1414524+44100</f>
        <v>1458624</v>
      </c>
      <c r="G74" s="15"/>
      <c r="H74" s="15"/>
      <c r="I74" s="15">
        <v>296200</v>
      </c>
      <c r="J74" s="15">
        <f t="shared" si="5"/>
        <v>0</v>
      </c>
      <c r="K74" s="15"/>
      <c r="L74" s="15"/>
      <c r="M74" s="15"/>
      <c r="N74" s="15"/>
      <c r="O74" s="15"/>
      <c r="P74" s="15">
        <f t="shared" si="6"/>
        <v>1754824</v>
      </c>
    </row>
    <row r="75" spans="1:16" ht="24" customHeight="1">
      <c r="A75" s="13" t="s">
        <v>295</v>
      </c>
      <c r="B75" s="13" t="s">
        <v>302</v>
      </c>
      <c r="C75" s="13" t="s">
        <v>6</v>
      </c>
      <c r="D75" s="16" t="s">
        <v>301</v>
      </c>
      <c r="E75" s="15">
        <f t="shared" si="3"/>
        <v>12000</v>
      </c>
      <c r="F75" s="15">
        <v>12000</v>
      </c>
      <c r="G75" s="11"/>
      <c r="H75" s="11"/>
      <c r="I75" s="11"/>
      <c r="J75" s="15">
        <f>L75+O75</f>
        <v>0</v>
      </c>
      <c r="K75" s="15"/>
      <c r="L75" s="11"/>
      <c r="M75" s="11"/>
      <c r="N75" s="11"/>
      <c r="O75" s="15"/>
      <c r="P75" s="15">
        <f>E75+J75</f>
        <v>12000</v>
      </c>
    </row>
    <row r="76" spans="1:16" ht="48.75" hidden="1" customHeight="1">
      <c r="A76" s="13" t="s">
        <v>181</v>
      </c>
      <c r="B76" s="13" t="s">
        <v>182</v>
      </c>
      <c r="C76" s="13" t="s">
        <v>21</v>
      </c>
      <c r="D76" s="16" t="s">
        <v>183</v>
      </c>
      <c r="E76" s="15">
        <f t="shared" si="3"/>
        <v>0</v>
      </c>
      <c r="F76" s="15"/>
      <c r="G76" s="23"/>
      <c r="H76" s="23"/>
      <c r="I76" s="15"/>
      <c r="J76" s="15">
        <f t="shared" si="5"/>
        <v>0</v>
      </c>
      <c r="K76" s="15"/>
      <c r="L76" s="15"/>
      <c r="M76" s="15"/>
      <c r="N76" s="15"/>
      <c r="O76" s="15"/>
      <c r="P76" s="15">
        <f t="shared" si="6"/>
        <v>0</v>
      </c>
    </row>
    <row r="77" spans="1:16" ht="16.5" customHeight="1">
      <c r="A77" s="13" t="s">
        <v>172</v>
      </c>
      <c r="B77" s="13" t="s">
        <v>46</v>
      </c>
      <c r="C77" s="13" t="s">
        <v>21</v>
      </c>
      <c r="D77" s="16" t="s">
        <v>157</v>
      </c>
      <c r="E77" s="15">
        <f t="shared" si="3"/>
        <v>1656400</v>
      </c>
      <c r="F77" s="15">
        <f>76100+52000+490000</f>
        <v>618100</v>
      </c>
      <c r="G77" s="24"/>
      <c r="H77" s="24"/>
      <c r="I77" s="11">
        <f>210000+828300</f>
        <v>1038300</v>
      </c>
      <c r="J77" s="15">
        <f>L77+O77</f>
        <v>0</v>
      </c>
      <c r="K77" s="15"/>
      <c r="L77" s="11"/>
      <c r="M77" s="11"/>
      <c r="N77" s="11"/>
      <c r="O77" s="15"/>
      <c r="P77" s="15">
        <f>E77+J77</f>
        <v>1656400</v>
      </c>
    </row>
    <row r="78" spans="1:16" ht="25.5">
      <c r="A78" s="13" t="s">
        <v>151</v>
      </c>
      <c r="B78" s="13" t="s">
        <v>150</v>
      </c>
      <c r="C78" s="13" t="s">
        <v>21</v>
      </c>
      <c r="D78" s="14" t="s">
        <v>156</v>
      </c>
      <c r="E78" s="15">
        <f t="shared" si="3"/>
        <v>11200000</v>
      </c>
      <c r="F78" s="15">
        <f>3000000+350000+1750000+500000+250000+700000+100000+100000</f>
        <v>6750000</v>
      </c>
      <c r="G78" s="11"/>
      <c r="H78" s="11"/>
      <c r="I78" s="11">
        <f>7000000-1600000-500000-250000-700000+400000+100000</f>
        <v>4450000</v>
      </c>
      <c r="J78" s="15">
        <f>L78+O78</f>
        <v>0</v>
      </c>
      <c r="K78" s="15"/>
      <c r="L78" s="11"/>
      <c r="M78" s="11"/>
      <c r="N78" s="11"/>
      <c r="O78" s="15"/>
      <c r="P78" s="15">
        <f>E78+J78</f>
        <v>11200000</v>
      </c>
    </row>
    <row r="79" spans="1:16" ht="14.25" hidden="1" customHeight="1">
      <c r="A79" s="13"/>
      <c r="B79" s="52"/>
      <c r="C79" s="13"/>
      <c r="D79" s="14"/>
      <c r="E79" s="15">
        <f t="shared" si="3"/>
        <v>0</v>
      </c>
      <c r="F79" s="15"/>
      <c r="G79" s="15"/>
      <c r="H79" s="15"/>
      <c r="I79" s="15"/>
      <c r="J79" s="15">
        <f>L79+O79</f>
        <v>0</v>
      </c>
      <c r="K79" s="15"/>
      <c r="L79" s="15"/>
      <c r="M79" s="15"/>
      <c r="N79" s="15"/>
      <c r="O79" s="15"/>
      <c r="P79" s="15">
        <f>E79+J79</f>
        <v>0</v>
      </c>
    </row>
    <row r="80" spans="1:16" ht="14.25" hidden="1" customHeight="1">
      <c r="A80" s="13"/>
      <c r="B80" s="52"/>
      <c r="C80" s="13"/>
      <c r="D80" s="14"/>
      <c r="E80" s="15">
        <f t="shared" si="3"/>
        <v>0</v>
      </c>
      <c r="F80" s="15"/>
      <c r="G80" s="15"/>
      <c r="H80" s="15"/>
      <c r="I80" s="15"/>
      <c r="J80" s="15">
        <f>L80+O80</f>
        <v>0</v>
      </c>
      <c r="K80" s="15"/>
      <c r="L80" s="15"/>
      <c r="M80" s="15"/>
      <c r="N80" s="15"/>
      <c r="O80" s="15"/>
      <c r="P80" s="15">
        <f>E80+J80</f>
        <v>0</v>
      </c>
    </row>
    <row r="81" spans="1:16" ht="28.5">
      <c r="A81" s="8" t="s">
        <v>49</v>
      </c>
      <c r="B81" s="9"/>
      <c r="C81" s="9"/>
      <c r="D81" s="25" t="s">
        <v>244</v>
      </c>
      <c r="E81" s="11">
        <f>E82</f>
        <v>189831617</v>
      </c>
      <c r="F81" s="11">
        <f t="shared" ref="F81:P81" si="7">F82</f>
        <v>183576796</v>
      </c>
      <c r="G81" s="11">
        <f t="shared" si="7"/>
        <v>113325633</v>
      </c>
      <c r="H81" s="11">
        <f t="shared" si="7"/>
        <v>14642919</v>
      </c>
      <c r="I81" s="11">
        <f t="shared" si="7"/>
        <v>6254821</v>
      </c>
      <c r="J81" s="11">
        <f t="shared" si="7"/>
        <v>12141611</v>
      </c>
      <c r="K81" s="11">
        <f t="shared" si="7"/>
        <v>2219566</v>
      </c>
      <c r="L81" s="11">
        <f t="shared" si="7"/>
        <v>4991995</v>
      </c>
      <c r="M81" s="11">
        <f t="shared" si="7"/>
        <v>1118311</v>
      </c>
      <c r="N81" s="11">
        <f t="shared" si="7"/>
        <v>0</v>
      </c>
      <c r="O81" s="11">
        <f t="shared" si="7"/>
        <v>7149616</v>
      </c>
      <c r="P81" s="11">
        <f t="shared" si="7"/>
        <v>201973228</v>
      </c>
    </row>
    <row r="82" spans="1:16" ht="28.5">
      <c r="A82" s="8" t="s">
        <v>50</v>
      </c>
      <c r="B82" s="13"/>
      <c r="C82" s="9"/>
      <c r="D82" s="25" t="s">
        <v>244</v>
      </c>
      <c r="E82" s="11">
        <f>SUM(E83:E125)</f>
        <v>189831617</v>
      </c>
      <c r="F82" s="11">
        <f t="shared" ref="F82:N82" si="8">SUM(F83:F125)</f>
        <v>183576796</v>
      </c>
      <c r="G82" s="11">
        <f t="shared" si="8"/>
        <v>113325633</v>
      </c>
      <c r="H82" s="11">
        <f t="shared" si="8"/>
        <v>14642919</v>
      </c>
      <c r="I82" s="11">
        <f t="shared" si="8"/>
        <v>6254821</v>
      </c>
      <c r="J82" s="11">
        <f>SUM(J83:J124)</f>
        <v>12141611</v>
      </c>
      <c r="K82" s="11">
        <f>SUM(K83:K124)</f>
        <v>2219566</v>
      </c>
      <c r="L82" s="11">
        <f t="shared" si="8"/>
        <v>4991995</v>
      </c>
      <c r="M82" s="11">
        <f t="shared" si="8"/>
        <v>1118311</v>
      </c>
      <c r="N82" s="11">
        <f t="shared" si="8"/>
        <v>0</v>
      </c>
      <c r="O82" s="11">
        <f>SUM(O83:O124)</f>
        <v>7149616</v>
      </c>
      <c r="P82" s="11">
        <f>SUM(P83:P124)</f>
        <v>201973228</v>
      </c>
    </row>
    <row r="83" spans="1:16" ht="25.5">
      <c r="A83" s="18" t="s">
        <v>99</v>
      </c>
      <c r="B83" s="13" t="s">
        <v>22</v>
      </c>
      <c r="C83" s="13" t="s">
        <v>4</v>
      </c>
      <c r="D83" s="14" t="s">
        <v>124</v>
      </c>
      <c r="E83" s="15">
        <f>F83+I83</f>
        <v>3121233</v>
      </c>
      <c r="F83" s="15">
        <f>3120033+1200</f>
        <v>3121233</v>
      </c>
      <c r="G83" s="15">
        <v>2538519</v>
      </c>
      <c r="H83" s="15"/>
      <c r="I83" s="15"/>
      <c r="J83" s="15">
        <f t="shared" ref="J83:J111" si="9">L83+O83</f>
        <v>0</v>
      </c>
      <c r="K83" s="15"/>
      <c r="L83" s="15"/>
      <c r="M83" s="15"/>
      <c r="N83" s="15"/>
      <c r="O83" s="15"/>
      <c r="P83" s="15">
        <f>E83+J83</f>
        <v>3121233</v>
      </c>
    </row>
    <row r="84" spans="1:16">
      <c r="A84" s="18" t="s">
        <v>51</v>
      </c>
      <c r="B84" s="55">
        <v>1010</v>
      </c>
      <c r="C84" s="18" t="s">
        <v>14</v>
      </c>
      <c r="D84" s="56" t="s">
        <v>56</v>
      </c>
      <c r="E84" s="15">
        <f t="shared" ref="E84:E124" si="10">F84+I84</f>
        <v>25169625</v>
      </c>
      <c r="F84" s="15">
        <f>22710307+509250+71280+18800+13000+123800-48000+13269+917791+502210+328918</f>
        <v>25160625</v>
      </c>
      <c r="G84" s="15">
        <f>16151043+417418+695695</f>
        <v>17264156</v>
      </c>
      <c r="H84" s="15">
        <f>1900484+123800+7840+29995+319680</f>
        <v>2381799</v>
      </c>
      <c r="I84" s="15">
        <v>9000</v>
      </c>
      <c r="J84" s="15">
        <f t="shared" si="9"/>
        <v>447440</v>
      </c>
      <c r="K84" s="15"/>
      <c r="L84" s="15">
        <v>447440</v>
      </c>
      <c r="M84" s="15"/>
      <c r="N84" s="15"/>
      <c r="O84" s="15"/>
      <c r="P84" s="15">
        <f t="shared" ref="P84:P92" si="11">E84+J84</f>
        <v>25617065</v>
      </c>
    </row>
    <row r="85" spans="1:16" ht="25.5">
      <c r="A85" s="13" t="s">
        <v>126</v>
      </c>
      <c r="B85" s="13" t="s">
        <v>127</v>
      </c>
      <c r="C85" s="13" t="s">
        <v>11</v>
      </c>
      <c r="D85" s="16" t="s">
        <v>204</v>
      </c>
      <c r="E85" s="15">
        <f t="shared" si="10"/>
        <v>56812380</v>
      </c>
      <c r="F85" s="15">
        <f>38304328-1052533-667555+238900+37500+297375+300000+385500+112500+120525+141900+5097841+41996+7894371+145476+85060+21280+460388-52000-300000-400000+1428400-1428400</f>
        <v>51212852</v>
      </c>
      <c r="G85" s="15">
        <f>16348670+8026+13375</f>
        <v>16370071</v>
      </c>
      <c r="H85" s="15">
        <f>6907757+297375+369500+38612+2786495+313507</f>
        <v>10713246</v>
      </c>
      <c r="I85" s="15">
        <f>535000+200000-41996-145476+52000+5000000</f>
        <v>5599528</v>
      </c>
      <c r="J85" s="15">
        <f t="shared" si="9"/>
        <v>0</v>
      </c>
      <c r="K85" s="15"/>
      <c r="L85" s="15"/>
      <c r="M85" s="15"/>
      <c r="N85" s="15"/>
      <c r="O85" s="15"/>
      <c r="P85" s="15">
        <f t="shared" si="11"/>
        <v>56812380</v>
      </c>
    </row>
    <row r="86" spans="1:16" ht="25.5">
      <c r="A86" s="13" t="s">
        <v>125</v>
      </c>
      <c r="B86" s="13" t="s">
        <v>128</v>
      </c>
      <c r="C86" s="13" t="s">
        <v>11</v>
      </c>
      <c r="D86" s="16" t="s">
        <v>203</v>
      </c>
      <c r="E86" s="15">
        <f t="shared" si="10"/>
        <v>65478600</v>
      </c>
      <c r="F86" s="15">
        <v>65478600</v>
      </c>
      <c r="G86" s="15">
        <v>53670980</v>
      </c>
      <c r="H86" s="15"/>
      <c r="I86" s="15"/>
      <c r="J86" s="15">
        <f t="shared" si="9"/>
        <v>0</v>
      </c>
      <c r="K86" s="15"/>
      <c r="L86" s="15"/>
      <c r="M86" s="15"/>
      <c r="N86" s="15"/>
      <c r="O86" s="15"/>
      <c r="P86" s="15">
        <f>E86+J86</f>
        <v>65478600</v>
      </c>
    </row>
    <row r="87" spans="1:16" ht="25.5" hidden="1">
      <c r="A87" s="13" t="s">
        <v>165</v>
      </c>
      <c r="B87" s="13" t="s">
        <v>166</v>
      </c>
      <c r="C87" s="13" t="s">
        <v>11</v>
      </c>
      <c r="D87" s="16" t="s">
        <v>129</v>
      </c>
      <c r="E87" s="15">
        <f t="shared" si="10"/>
        <v>0</v>
      </c>
      <c r="F87" s="15"/>
      <c r="G87" s="15"/>
      <c r="H87" s="15"/>
      <c r="I87" s="15"/>
      <c r="J87" s="15">
        <f t="shared" si="9"/>
        <v>0</v>
      </c>
      <c r="K87" s="15"/>
      <c r="L87" s="15"/>
      <c r="M87" s="15"/>
      <c r="N87" s="15"/>
      <c r="O87" s="15"/>
      <c r="P87" s="15">
        <f>E87+J87</f>
        <v>0</v>
      </c>
    </row>
    <row r="88" spans="1:16" ht="29.25" customHeight="1">
      <c r="A88" s="18" t="s">
        <v>130</v>
      </c>
      <c r="B88" s="18" t="s">
        <v>15</v>
      </c>
      <c r="C88" s="13" t="s">
        <v>12</v>
      </c>
      <c r="D88" s="16" t="s">
        <v>77</v>
      </c>
      <c r="E88" s="15">
        <f t="shared" si="10"/>
        <v>4959802</v>
      </c>
      <c r="F88" s="15">
        <f>4399660+173828+45000+51000+289714+600</f>
        <v>4959802</v>
      </c>
      <c r="G88" s="15">
        <f>3181119+142482+237470</f>
        <v>3561071</v>
      </c>
      <c r="H88" s="15">
        <f>439687+1455</f>
        <v>441142</v>
      </c>
      <c r="I88" s="15"/>
      <c r="J88" s="15">
        <f>L88+O88</f>
        <v>318000</v>
      </c>
      <c r="K88" s="15"/>
      <c r="L88" s="15">
        <v>318000</v>
      </c>
      <c r="M88" s="15"/>
      <c r="N88" s="15"/>
      <c r="O88" s="15"/>
      <c r="P88" s="15">
        <f>E88+J88</f>
        <v>5277802</v>
      </c>
    </row>
    <row r="89" spans="1:16" ht="13.9" customHeight="1">
      <c r="A89" s="13" t="s">
        <v>131</v>
      </c>
      <c r="B89" s="13" t="s">
        <v>132</v>
      </c>
      <c r="C89" s="13" t="s">
        <v>12</v>
      </c>
      <c r="D89" s="14" t="s">
        <v>180</v>
      </c>
      <c r="E89" s="15">
        <f t="shared" si="10"/>
        <v>11151305</v>
      </c>
      <c r="F89" s="15">
        <f>9448841+589061+78203+55080+100000+845220+34900</f>
        <v>11151305</v>
      </c>
      <c r="G89" s="15">
        <f>7001801+415681+64100+692803-127</f>
        <v>8174258</v>
      </c>
      <c r="H89" s="15">
        <f>800680+263</f>
        <v>800943</v>
      </c>
      <c r="I89" s="15"/>
      <c r="J89" s="15">
        <f>L89+O89</f>
        <v>1364340</v>
      </c>
      <c r="K89" s="15"/>
      <c r="L89" s="15">
        <v>1364340</v>
      </c>
      <c r="M89" s="15">
        <v>1118311</v>
      </c>
      <c r="N89" s="15"/>
      <c r="O89" s="15"/>
      <c r="P89" s="15">
        <f>E89+J89</f>
        <v>12515645</v>
      </c>
    </row>
    <row r="90" spans="1:16">
      <c r="A90" s="13" t="s">
        <v>133</v>
      </c>
      <c r="B90" s="13" t="s">
        <v>134</v>
      </c>
      <c r="C90" s="13" t="s">
        <v>13</v>
      </c>
      <c r="D90" s="16" t="s">
        <v>57</v>
      </c>
      <c r="E90" s="15">
        <f t="shared" si="10"/>
        <v>4620824</v>
      </c>
      <c r="F90" s="15">
        <f>4529593-137675+60000+5000+3200+1026+40600+36080</f>
        <v>4537824</v>
      </c>
      <c r="G90" s="15">
        <v>3376626</v>
      </c>
      <c r="H90" s="15">
        <f>169333+1026+36080</f>
        <v>206439</v>
      </c>
      <c r="I90" s="15">
        <v>83000</v>
      </c>
      <c r="J90" s="15">
        <f t="shared" si="9"/>
        <v>0</v>
      </c>
      <c r="K90" s="15"/>
      <c r="L90" s="15"/>
      <c r="M90" s="15"/>
      <c r="N90" s="15"/>
      <c r="O90" s="15"/>
      <c r="P90" s="15">
        <f t="shared" si="11"/>
        <v>4620824</v>
      </c>
    </row>
    <row r="91" spans="1:16" ht="17.100000000000001" customHeight="1">
      <c r="A91" s="13" t="s">
        <v>135</v>
      </c>
      <c r="B91" s="13" t="s">
        <v>136</v>
      </c>
      <c r="C91" s="13" t="s">
        <v>13</v>
      </c>
      <c r="D91" s="16" t="s">
        <v>58</v>
      </c>
      <c r="E91" s="15">
        <f t="shared" si="10"/>
        <v>68892</v>
      </c>
      <c r="F91" s="15">
        <f>47820+21072</f>
        <v>68892</v>
      </c>
      <c r="G91" s="15"/>
      <c r="H91" s="15"/>
      <c r="I91" s="15"/>
      <c r="J91" s="15">
        <f t="shared" si="9"/>
        <v>0</v>
      </c>
      <c r="K91" s="15"/>
      <c r="L91" s="15"/>
      <c r="M91" s="15"/>
      <c r="N91" s="15"/>
      <c r="O91" s="15"/>
      <c r="P91" s="15">
        <f t="shared" si="11"/>
        <v>68892</v>
      </c>
    </row>
    <row r="92" spans="1:16" ht="27" customHeight="1">
      <c r="A92" s="18" t="s">
        <v>137</v>
      </c>
      <c r="B92" s="18" t="s">
        <v>138</v>
      </c>
      <c r="C92" s="13" t="s">
        <v>13</v>
      </c>
      <c r="D92" s="16" t="s">
        <v>139</v>
      </c>
      <c r="E92" s="15">
        <f t="shared" si="10"/>
        <v>72883</v>
      </c>
      <c r="F92" s="15">
        <f>72283+600</f>
        <v>72883</v>
      </c>
      <c r="G92" s="15">
        <v>56319</v>
      </c>
      <c r="H92" s="15"/>
      <c r="I92" s="15"/>
      <c r="J92" s="15">
        <f t="shared" si="9"/>
        <v>0</v>
      </c>
      <c r="K92" s="15"/>
      <c r="L92" s="15"/>
      <c r="M92" s="15"/>
      <c r="N92" s="15"/>
      <c r="O92" s="15"/>
      <c r="P92" s="15">
        <f t="shared" si="11"/>
        <v>72883</v>
      </c>
    </row>
    <row r="93" spans="1:16" ht="27" customHeight="1">
      <c r="A93" s="18" t="s">
        <v>143</v>
      </c>
      <c r="B93" s="18" t="s">
        <v>144</v>
      </c>
      <c r="C93" s="13" t="s">
        <v>13</v>
      </c>
      <c r="D93" s="16" t="s">
        <v>178</v>
      </c>
      <c r="E93" s="15">
        <f t="shared" si="10"/>
        <v>1228142</v>
      </c>
      <c r="F93" s="15">
        <v>1228142</v>
      </c>
      <c r="G93" s="15">
        <v>1006674</v>
      </c>
      <c r="H93" s="15"/>
      <c r="I93" s="15"/>
      <c r="J93" s="15">
        <f>L93+O93</f>
        <v>0</v>
      </c>
      <c r="K93" s="15"/>
      <c r="L93" s="15"/>
      <c r="M93" s="15"/>
      <c r="N93" s="15"/>
      <c r="O93" s="15"/>
      <c r="P93" s="15">
        <f t="shared" ref="P93:P99" si="12">E93+J93</f>
        <v>1228142</v>
      </c>
    </row>
    <row r="94" spans="1:16" ht="55.5" hidden="1" customHeight="1">
      <c r="A94" s="18" t="s">
        <v>184</v>
      </c>
      <c r="B94" s="18" t="s">
        <v>185</v>
      </c>
      <c r="C94" s="13" t="s">
        <v>13</v>
      </c>
      <c r="D94" s="16" t="s">
        <v>186</v>
      </c>
      <c r="E94" s="15">
        <f t="shared" si="10"/>
        <v>0</v>
      </c>
      <c r="F94" s="15"/>
      <c r="G94" s="15"/>
      <c r="H94" s="15"/>
      <c r="I94" s="15"/>
      <c r="J94" s="15">
        <f>L94+O94</f>
        <v>0</v>
      </c>
      <c r="K94" s="15"/>
      <c r="L94" s="15"/>
      <c r="M94" s="15"/>
      <c r="N94" s="15"/>
      <c r="O94" s="15"/>
      <c r="P94" s="15">
        <f t="shared" si="12"/>
        <v>0</v>
      </c>
    </row>
    <row r="95" spans="1:16" ht="27" hidden="1" customHeight="1">
      <c r="A95" s="18" t="s">
        <v>140</v>
      </c>
      <c r="B95" s="18" t="s">
        <v>141</v>
      </c>
      <c r="C95" s="13" t="s">
        <v>13</v>
      </c>
      <c r="D95" s="16" t="s">
        <v>142</v>
      </c>
      <c r="E95" s="15">
        <f t="shared" si="10"/>
        <v>0</v>
      </c>
      <c r="F95" s="15"/>
      <c r="G95" s="15"/>
      <c r="H95" s="15"/>
      <c r="I95" s="15"/>
      <c r="J95" s="15">
        <f t="shared" si="9"/>
        <v>0</v>
      </c>
      <c r="K95" s="15"/>
      <c r="L95" s="15"/>
      <c r="M95" s="15"/>
      <c r="N95" s="15"/>
      <c r="O95" s="15"/>
      <c r="P95" s="15">
        <f t="shared" si="12"/>
        <v>0</v>
      </c>
    </row>
    <row r="96" spans="1:16" ht="54.75" customHeight="1">
      <c r="A96" s="18" t="s">
        <v>261</v>
      </c>
      <c r="B96" s="18" t="s">
        <v>263</v>
      </c>
      <c r="C96" s="13" t="s">
        <v>13</v>
      </c>
      <c r="D96" s="16" t="s">
        <v>276</v>
      </c>
      <c r="E96" s="15">
        <f t="shared" si="10"/>
        <v>0</v>
      </c>
      <c r="F96" s="15"/>
      <c r="G96" s="15"/>
      <c r="H96" s="15"/>
      <c r="I96" s="15"/>
      <c r="J96" s="15">
        <f t="shared" ref="J96:J103" si="13">L96+O96</f>
        <v>197544</v>
      </c>
      <c r="K96" s="15">
        <f>100000-100000+197544</f>
        <v>197544</v>
      </c>
      <c r="L96" s="15">
        <v>98772</v>
      </c>
      <c r="M96" s="15"/>
      <c r="N96" s="15"/>
      <c r="O96" s="15">
        <f>100000-100000+98772</f>
        <v>98772</v>
      </c>
      <c r="P96" s="15">
        <f t="shared" si="12"/>
        <v>197544</v>
      </c>
    </row>
    <row r="97" spans="1:16" ht="61.5" customHeight="1">
      <c r="A97" s="18" t="s">
        <v>262</v>
      </c>
      <c r="B97" s="18" t="s">
        <v>264</v>
      </c>
      <c r="C97" s="13" t="s">
        <v>13</v>
      </c>
      <c r="D97" s="16" t="s">
        <v>277</v>
      </c>
      <c r="E97" s="15">
        <f t="shared" si="10"/>
        <v>0</v>
      </c>
      <c r="F97" s="15"/>
      <c r="G97" s="15"/>
      <c r="H97" s="15"/>
      <c r="I97" s="15"/>
      <c r="J97" s="15">
        <f t="shared" si="13"/>
        <v>1777900</v>
      </c>
      <c r="K97" s="15">
        <v>1777900</v>
      </c>
      <c r="L97" s="15">
        <v>888950</v>
      </c>
      <c r="M97" s="15"/>
      <c r="N97" s="15"/>
      <c r="O97" s="15">
        <v>888950</v>
      </c>
      <c r="P97" s="15">
        <f t="shared" si="12"/>
        <v>1777900</v>
      </c>
    </row>
    <row r="98" spans="1:16" ht="54.75" customHeight="1">
      <c r="A98" s="18" t="s">
        <v>145</v>
      </c>
      <c r="B98" s="18" t="s">
        <v>146</v>
      </c>
      <c r="C98" s="13" t="s">
        <v>13</v>
      </c>
      <c r="D98" s="16" t="s">
        <v>257</v>
      </c>
      <c r="E98" s="15">
        <f t="shared" si="10"/>
        <v>101500</v>
      </c>
      <c r="F98" s="15">
        <v>101500</v>
      </c>
      <c r="G98" s="15">
        <v>83197</v>
      </c>
      <c r="H98" s="15"/>
      <c r="I98" s="15"/>
      <c r="J98" s="15">
        <f t="shared" si="13"/>
        <v>0</v>
      </c>
      <c r="K98" s="15"/>
      <c r="L98" s="15"/>
      <c r="M98" s="15"/>
      <c r="N98" s="15"/>
      <c r="O98" s="15"/>
      <c r="P98" s="15">
        <f t="shared" si="12"/>
        <v>101500</v>
      </c>
    </row>
    <row r="99" spans="1:16" ht="52.5" hidden="1" customHeight="1">
      <c r="A99" s="18" t="s">
        <v>278</v>
      </c>
      <c r="B99" s="57" t="s">
        <v>279</v>
      </c>
      <c r="C99" s="57" t="s">
        <v>13</v>
      </c>
      <c r="D99" s="58" t="s">
        <v>283</v>
      </c>
      <c r="E99" s="15">
        <f t="shared" si="10"/>
        <v>0</v>
      </c>
      <c r="F99" s="15"/>
      <c r="G99" s="15"/>
      <c r="H99" s="15"/>
      <c r="I99" s="15"/>
      <c r="J99" s="15">
        <f t="shared" si="13"/>
        <v>0</v>
      </c>
      <c r="K99" s="15"/>
      <c r="L99" s="15"/>
      <c r="M99" s="15"/>
      <c r="N99" s="15"/>
      <c r="O99" s="15"/>
      <c r="P99" s="15">
        <f t="shared" si="12"/>
        <v>0</v>
      </c>
    </row>
    <row r="100" spans="1:16" ht="98.25" customHeight="1">
      <c r="A100" s="18" t="s">
        <v>333</v>
      </c>
      <c r="B100" s="18" t="s">
        <v>337</v>
      </c>
      <c r="C100" s="13" t="s">
        <v>13</v>
      </c>
      <c r="D100" s="16" t="s">
        <v>336</v>
      </c>
      <c r="E100" s="15">
        <f t="shared" si="10"/>
        <v>0</v>
      </c>
      <c r="F100" s="15"/>
      <c r="G100" s="15"/>
      <c r="H100" s="15"/>
      <c r="I100" s="15"/>
      <c r="J100" s="15">
        <f t="shared" si="13"/>
        <v>144122</v>
      </c>
      <c r="K100" s="15">
        <v>144122</v>
      </c>
      <c r="L100" s="15">
        <v>144122</v>
      </c>
      <c r="M100" s="15"/>
      <c r="N100" s="15"/>
      <c r="O100" s="15"/>
      <c r="P100" s="15">
        <f t="shared" ref="P100:P125" si="14">E100+J100</f>
        <v>144122</v>
      </c>
    </row>
    <row r="101" spans="1:16" ht="98.25" hidden="1" customHeight="1">
      <c r="A101" s="18" t="s">
        <v>334</v>
      </c>
      <c r="B101" s="18" t="s">
        <v>338</v>
      </c>
      <c r="C101" s="13" t="s">
        <v>13</v>
      </c>
      <c r="D101" s="16" t="s">
        <v>339</v>
      </c>
      <c r="E101" s="15">
        <f t="shared" si="10"/>
        <v>0</v>
      </c>
      <c r="F101" s="15"/>
      <c r="G101" s="15"/>
      <c r="H101" s="15"/>
      <c r="I101" s="15"/>
      <c r="J101" s="15">
        <f t="shared" si="13"/>
        <v>0</v>
      </c>
      <c r="K101" s="15"/>
      <c r="L101" s="15"/>
      <c r="M101" s="15"/>
      <c r="N101" s="15"/>
      <c r="O101" s="15"/>
      <c r="P101" s="15">
        <f t="shared" si="14"/>
        <v>0</v>
      </c>
    </row>
    <row r="102" spans="1:16" ht="52.5" customHeight="1">
      <c r="A102" s="18" t="s">
        <v>335</v>
      </c>
      <c r="B102" s="18" t="s">
        <v>340</v>
      </c>
      <c r="C102" s="13" t="s">
        <v>13</v>
      </c>
      <c r="D102" s="16" t="s">
        <v>341</v>
      </c>
      <c r="E102" s="15">
        <f>F102+I102</f>
        <v>501293</v>
      </c>
      <c r="F102" s="15"/>
      <c r="G102" s="15"/>
      <c r="H102" s="15"/>
      <c r="I102" s="15">
        <v>501293</v>
      </c>
      <c r="J102" s="15">
        <f>L102+O102</f>
        <v>0</v>
      </c>
      <c r="K102" s="15"/>
      <c r="L102" s="15"/>
      <c r="M102" s="15"/>
      <c r="N102" s="15"/>
      <c r="O102" s="15"/>
      <c r="P102" s="15">
        <f>E102+J102</f>
        <v>501293</v>
      </c>
    </row>
    <row r="103" spans="1:16" ht="49.5" customHeight="1">
      <c r="A103" s="18" t="s">
        <v>221</v>
      </c>
      <c r="B103" s="18" t="s">
        <v>222</v>
      </c>
      <c r="C103" s="13" t="s">
        <v>13</v>
      </c>
      <c r="D103" s="16" t="s">
        <v>342</v>
      </c>
      <c r="E103" s="15">
        <f t="shared" si="10"/>
        <v>0</v>
      </c>
      <c r="F103" s="15"/>
      <c r="G103" s="15"/>
      <c r="H103" s="15"/>
      <c r="I103" s="15"/>
      <c r="J103" s="15">
        <f t="shared" si="13"/>
        <v>2719757</v>
      </c>
      <c r="K103" s="15"/>
      <c r="L103" s="15"/>
      <c r="M103" s="15"/>
      <c r="N103" s="15"/>
      <c r="O103" s="15">
        <v>2719757</v>
      </c>
      <c r="P103" s="15">
        <f t="shared" si="14"/>
        <v>2719757</v>
      </c>
    </row>
    <row r="104" spans="1:16" ht="38.25" hidden="1">
      <c r="A104" s="13" t="s">
        <v>246</v>
      </c>
      <c r="B104" s="13" t="s">
        <v>247</v>
      </c>
      <c r="C104" s="13" t="s">
        <v>13</v>
      </c>
      <c r="D104" s="16" t="s">
        <v>245</v>
      </c>
      <c r="E104" s="15">
        <f t="shared" si="10"/>
        <v>0</v>
      </c>
      <c r="F104" s="15"/>
      <c r="G104" s="15"/>
      <c r="H104" s="15"/>
      <c r="I104" s="15"/>
      <c r="J104" s="15">
        <f t="shared" si="9"/>
        <v>0</v>
      </c>
      <c r="K104" s="15"/>
      <c r="L104" s="15"/>
      <c r="M104" s="15"/>
      <c r="N104" s="15"/>
      <c r="O104" s="15"/>
      <c r="P104" s="15">
        <f t="shared" ref="P104:P112" si="15">E104+J104</f>
        <v>0</v>
      </c>
    </row>
    <row r="105" spans="1:16" ht="40.5" hidden="1" customHeight="1">
      <c r="A105" s="13" t="s">
        <v>215</v>
      </c>
      <c r="B105" s="13" t="s">
        <v>216</v>
      </c>
      <c r="C105" s="13" t="s">
        <v>13</v>
      </c>
      <c r="D105" s="16" t="s">
        <v>217</v>
      </c>
      <c r="E105" s="15">
        <f t="shared" si="10"/>
        <v>0</v>
      </c>
      <c r="F105" s="15"/>
      <c r="G105" s="15"/>
      <c r="H105" s="15"/>
      <c r="I105" s="15"/>
      <c r="J105" s="15">
        <f t="shared" si="9"/>
        <v>0</v>
      </c>
      <c r="K105" s="15"/>
      <c r="L105" s="15"/>
      <c r="M105" s="15"/>
      <c r="N105" s="15"/>
      <c r="O105" s="15"/>
      <c r="P105" s="15">
        <f t="shared" si="15"/>
        <v>0</v>
      </c>
    </row>
    <row r="106" spans="1:16" ht="36.75" hidden="1" customHeight="1">
      <c r="A106" s="13" t="s">
        <v>218</v>
      </c>
      <c r="B106" s="13" t="s">
        <v>219</v>
      </c>
      <c r="C106" s="13" t="s">
        <v>13</v>
      </c>
      <c r="D106" s="16" t="s">
        <v>220</v>
      </c>
      <c r="E106" s="15">
        <f t="shared" si="10"/>
        <v>0</v>
      </c>
      <c r="F106" s="15"/>
      <c r="G106" s="15"/>
      <c r="H106" s="15"/>
      <c r="I106" s="15"/>
      <c r="J106" s="15">
        <f t="shared" si="9"/>
        <v>0</v>
      </c>
      <c r="K106" s="15"/>
      <c r="L106" s="15"/>
      <c r="M106" s="15"/>
      <c r="N106" s="15"/>
      <c r="O106" s="15"/>
      <c r="P106" s="15">
        <f t="shared" si="15"/>
        <v>0</v>
      </c>
    </row>
    <row r="107" spans="1:16" ht="69" customHeight="1">
      <c r="A107" s="13" t="s">
        <v>296</v>
      </c>
      <c r="B107" s="13" t="s">
        <v>297</v>
      </c>
      <c r="C107" s="13" t="s">
        <v>13</v>
      </c>
      <c r="D107" s="63" t="s">
        <v>300</v>
      </c>
      <c r="E107" s="15">
        <f t="shared" si="10"/>
        <v>0</v>
      </c>
      <c r="F107" s="15"/>
      <c r="G107" s="15"/>
      <c r="H107" s="15"/>
      <c r="I107" s="15"/>
      <c r="J107" s="15">
        <f t="shared" si="9"/>
        <v>100000</v>
      </c>
      <c r="K107" s="15">
        <v>100000</v>
      </c>
      <c r="L107" s="15"/>
      <c r="M107" s="15"/>
      <c r="N107" s="15"/>
      <c r="O107" s="15">
        <v>100000</v>
      </c>
      <c r="P107" s="15">
        <f t="shared" si="15"/>
        <v>100000</v>
      </c>
    </row>
    <row r="108" spans="1:16" ht="61.5" customHeight="1">
      <c r="A108" s="13" t="s">
        <v>327</v>
      </c>
      <c r="B108" s="13" t="s">
        <v>328</v>
      </c>
      <c r="C108" s="13" t="s">
        <v>13</v>
      </c>
      <c r="D108" s="63" t="s">
        <v>329</v>
      </c>
      <c r="E108" s="15">
        <f t="shared" si="10"/>
        <v>0</v>
      </c>
      <c r="F108" s="15"/>
      <c r="G108" s="15"/>
      <c r="H108" s="15"/>
      <c r="I108" s="15"/>
      <c r="J108" s="15">
        <f t="shared" si="9"/>
        <v>4203653</v>
      </c>
      <c r="K108" s="15"/>
      <c r="L108" s="15">
        <v>861516</v>
      </c>
      <c r="M108" s="15"/>
      <c r="N108" s="15"/>
      <c r="O108" s="15">
        <v>3342137</v>
      </c>
      <c r="P108" s="15">
        <f t="shared" si="15"/>
        <v>4203653</v>
      </c>
    </row>
    <row r="109" spans="1:16" ht="57" customHeight="1">
      <c r="A109" s="13" t="s">
        <v>278</v>
      </c>
      <c r="B109" s="13" t="s">
        <v>279</v>
      </c>
      <c r="C109" s="13" t="s">
        <v>13</v>
      </c>
      <c r="D109" s="63" t="s">
        <v>311</v>
      </c>
      <c r="E109" s="15">
        <f t="shared" si="10"/>
        <v>0</v>
      </c>
      <c r="F109" s="15"/>
      <c r="G109" s="15"/>
      <c r="H109" s="15"/>
      <c r="I109" s="15"/>
      <c r="J109" s="15">
        <f t="shared" si="9"/>
        <v>119015</v>
      </c>
      <c r="K109" s="15"/>
      <c r="L109" s="15">
        <v>119015</v>
      </c>
      <c r="M109" s="15"/>
      <c r="N109" s="15"/>
      <c r="O109" s="15"/>
      <c r="P109" s="15">
        <f t="shared" si="15"/>
        <v>119015</v>
      </c>
    </row>
    <row r="110" spans="1:16" ht="49.5" customHeight="1">
      <c r="A110" s="13" t="s">
        <v>258</v>
      </c>
      <c r="B110" s="13" t="s">
        <v>259</v>
      </c>
      <c r="C110" s="13" t="s">
        <v>13</v>
      </c>
      <c r="D110" s="16" t="s">
        <v>260</v>
      </c>
      <c r="E110" s="15">
        <f t="shared" si="10"/>
        <v>6834700</v>
      </c>
      <c r="F110" s="15">
        <v>6834700</v>
      </c>
      <c r="G110" s="15">
        <v>5602213</v>
      </c>
      <c r="H110" s="15"/>
      <c r="I110" s="15"/>
      <c r="J110" s="15">
        <f t="shared" si="9"/>
        <v>0</v>
      </c>
      <c r="K110" s="15"/>
      <c r="L110" s="15"/>
      <c r="M110" s="15"/>
      <c r="N110" s="15"/>
      <c r="O110" s="15"/>
      <c r="P110" s="15">
        <f t="shared" si="15"/>
        <v>6834700</v>
      </c>
    </row>
    <row r="111" spans="1:16" ht="57" customHeight="1">
      <c r="A111" s="13" t="s">
        <v>280</v>
      </c>
      <c r="B111" s="13" t="s">
        <v>281</v>
      </c>
      <c r="C111" s="13" t="s">
        <v>13</v>
      </c>
      <c r="D111" s="16" t="s">
        <v>282</v>
      </c>
      <c r="E111" s="15">
        <f t="shared" si="10"/>
        <v>0</v>
      </c>
      <c r="F111" s="15"/>
      <c r="G111" s="15"/>
      <c r="H111" s="15"/>
      <c r="I111" s="15"/>
      <c r="J111" s="15">
        <f t="shared" si="9"/>
        <v>749840</v>
      </c>
      <c r="K111" s="15"/>
      <c r="L111" s="15">
        <f>334200+292640+123000</f>
        <v>749840</v>
      </c>
      <c r="M111" s="15"/>
      <c r="N111" s="15"/>
      <c r="O111" s="15"/>
      <c r="P111" s="15">
        <f t="shared" si="15"/>
        <v>749840</v>
      </c>
    </row>
    <row r="112" spans="1:16" ht="43.5" customHeight="1">
      <c r="A112" s="13" t="s">
        <v>284</v>
      </c>
      <c r="B112" s="13" t="s">
        <v>285</v>
      </c>
      <c r="C112" s="13" t="s">
        <v>13</v>
      </c>
      <c r="D112" s="16" t="s">
        <v>286</v>
      </c>
      <c r="E112" s="15">
        <f t="shared" si="10"/>
        <v>6752700</v>
      </c>
      <c r="F112" s="15">
        <v>6752700</v>
      </c>
      <c r="G112" s="15"/>
      <c r="H112" s="15"/>
      <c r="I112" s="15"/>
      <c r="J112" s="15">
        <f t="shared" ref="J112:J120" si="16">L112+O112</f>
        <v>0</v>
      </c>
      <c r="K112" s="15"/>
      <c r="L112" s="15"/>
      <c r="M112" s="15"/>
      <c r="N112" s="15"/>
      <c r="O112" s="15"/>
      <c r="P112" s="15">
        <f t="shared" si="15"/>
        <v>6752700</v>
      </c>
    </row>
    <row r="113" spans="1:16" ht="32.25" customHeight="1">
      <c r="A113" s="13" t="s">
        <v>38</v>
      </c>
      <c r="B113" s="13" t="s">
        <v>28</v>
      </c>
      <c r="C113" s="13" t="s">
        <v>8</v>
      </c>
      <c r="D113" s="16" t="s">
        <v>32</v>
      </c>
      <c r="E113" s="15">
        <f t="shared" si="10"/>
        <v>10000</v>
      </c>
      <c r="F113" s="15">
        <v>10000</v>
      </c>
      <c r="G113" s="15"/>
      <c r="H113" s="15"/>
      <c r="I113" s="15"/>
      <c r="J113" s="15">
        <f>L113+O113</f>
        <v>0</v>
      </c>
      <c r="K113" s="15"/>
      <c r="L113" s="15"/>
      <c r="M113" s="15"/>
      <c r="N113" s="15"/>
      <c r="O113" s="15"/>
      <c r="P113" s="15">
        <f t="shared" si="14"/>
        <v>10000</v>
      </c>
    </row>
    <row r="114" spans="1:16" ht="50.25" customHeight="1">
      <c r="A114" s="13" t="s">
        <v>52</v>
      </c>
      <c r="B114" s="18" t="s">
        <v>53</v>
      </c>
      <c r="C114" s="13" t="s">
        <v>8</v>
      </c>
      <c r="D114" s="14" t="s">
        <v>25</v>
      </c>
      <c r="E114" s="15">
        <f t="shared" si="10"/>
        <v>100000</v>
      </c>
      <c r="F114" s="15">
        <v>100000</v>
      </c>
      <c r="G114" s="15"/>
      <c r="H114" s="15"/>
      <c r="I114" s="15"/>
      <c r="J114" s="15">
        <f t="shared" si="16"/>
        <v>0</v>
      </c>
      <c r="K114" s="15"/>
      <c r="L114" s="15"/>
      <c r="M114" s="15"/>
      <c r="N114" s="15"/>
      <c r="O114" s="15"/>
      <c r="P114" s="15">
        <f t="shared" si="14"/>
        <v>100000</v>
      </c>
    </row>
    <row r="115" spans="1:16" hidden="1">
      <c r="A115" s="13" t="s">
        <v>87</v>
      </c>
      <c r="B115" s="13" t="s">
        <v>26</v>
      </c>
      <c r="C115" s="13" t="s">
        <v>18</v>
      </c>
      <c r="D115" s="14" t="s">
        <v>35</v>
      </c>
      <c r="E115" s="15">
        <f t="shared" si="10"/>
        <v>0</v>
      </c>
      <c r="F115" s="15"/>
      <c r="G115" s="15"/>
      <c r="H115" s="15"/>
      <c r="I115" s="15"/>
      <c r="J115" s="15">
        <f t="shared" si="16"/>
        <v>0</v>
      </c>
      <c r="K115" s="15"/>
      <c r="L115" s="15"/>
      <c r="M115" s="15"/>
      <c r="N115" s="15"/>
      <c r="O115" s="15"/>
      <c r="P115" s="15">
        <f t="shared" si="14"/>
        <v>0</v>
      </c>
    </row>
    <row r="116" spans="1:16" hidden="1">
      <c r="A116" s="13" t="s">
        <v>88</v>
      </c>
      <c r="B116" s="13" t="s">
        <v>37</v>
      </c>
      <c r="C116" s="13" t="s">
        <v>18</v>
      </c>
      <c r="D116" s="19" t="s">
        <v>36</v>
      </c>
      <c r="E116" s="15">
        <f t="shared" si="10"/>
        <v>0</v>
      </c>
      <c r="F116" s="15"/>
      <c r="G116" s="15"/>
      <c r="H116" s="15"/>
      <c r="I116" s="15"/>
      <c r="J116" s="15">
        <f t="shared" si="16"/>
        <v>0</v>
      </c>
      <c r="K116" s="15"/>
      <c r="L116" s="15"/>
      <c r="M116" s="15"/>
      <c r="N116" s="15"/>
      <c r="O116" s="15"/>
      <c r="P116" s="15">
        <f t="shared" si="14"/>
        <v>0</v>
      </c>
    </row>
    <row r="117" spans="1:16" ht="25.5" hidden="1">
      <c r="A117" s="13" t="s">
        <v>89</v>
      </c>
      <c r="B117" s="13" t="s">
        <v>27</v>
      </c>
      <c r="C117" s="13" t="s">
        <v>23</v>
      </c>
      <c r="D117" s="14" t="s">
        <v>61</v>
      </c>
      <c r="E117" s="15">
        <f t="shared" si="10"/>
        <v>0</v>
      </c>
      <c r="F117" s="15"/>
      <c r="G117" s="15"/>
      <c r="H117" s="15"/>
      <c r="I117" s="15"/>
      <c r="J117" s="15">
        <f t="shared" si="16"/>
        <v>0</v>
      </c>
      <c r="K117" s="15"/>
      <c r="L117" s="15"/>
      <c r="M117" s="15"/>
      <c r="N117" s="15"/>
      <c r="O117" s="15"/>
      <c r="P117" s="15">
        <f t="shared" si="14"/>
        <v>0</v>
      </c>
    </row>
    <row r="118" spans="1:16" hidden="1">
      <c r="A118" s="13" t="s">
        <v>90</v>
      </c>
      <c r="B118" s="13" t="s">
        <v>59</v>
      </c>
      <c r="C118" s="13" t="s">
        <v>19</v>
      </c>
      <c r="D118" s="19" t="s">
        <v>60</v>
      </c>
      <c r="E118" s="15">
        <f t="shared" si="10"/>
        <v>0</v>
      </c>
      <c r="F118" s="15"/>
      <c r="G118" s="15"/>
      <c r="H118" s="15"/>
      <c r="I118" s="15"/>
      <c r="J118" s="15">
        <f t="shared" si="16"/>
        <v>0</v>
      </c>
      <c r="K118" s="15"/>
      <c r="L118" s="15"/>
      <c r="M118" s="15"/>
      <c r="N118" s="15"/>
      <c r="O118" s="15"/>
      <c r="P118" s="15">
        <f t="shared" si="14"/>
        <v>0</v>
      </c>
    </row>
    <row r="119" spans="1:16" ht="25.5">
      <c r="A119" s="13" t="s">
        <v>85</v>
      </c>
      <c r="B119" s="13" t="s">
        <v>29</v>
      </c>
      <c r="C119" s="13" t="s">
        <v>10</v>
      </c>
      <c r="D119" s="26" t="s">
        <v>256</v>
      </c>
      <c r="E119" s="15">
        <f t="shared" si="10"/>
        <v>2330517</v>
      </c>
      <c r="F119" s="15">
        <f>2247917-9000-15000+24000+600+20000</f>
        <v>2268517</v>
      </c>
      <c r="G119" s="15">
        <v>1621549</v>
      </c>
      <c r="H119" s="15">
        <v>99350</v>
      </c>
      <c r="I119" s="15">
        <f>38000+24000</f>
        <v>62000</v>
      </c>
      <c r="J119" s="15">
        <f t="shared" si="16"/>
        <v>0</v>
      </c>
      <c r="K119" s="15">
        <f>23200-23200</f>
        <v>0</v>
      </c>
      <c r="L119" s="15"/>
      <c r="M119" s="15"/>
      <c r="N119" s="15"/>
      <c r="O119" s="15">
        <f>23200-23200</f>
        <v>0</v>
      </c>
      <c r="P119" s="15">
        <f>E119+J119</f>
        <v>2330517</v>
      </c>
    </row>
    <row r="120" spans="1:16" ht="38.25">
      <c r="A120" s="13" t="s">
        <v>54</v>
      </c>
      <c r="B120" s="13" t="s">
        <v>31</v>
      </c>
      <c r="C120" s="13" t="s">
        <v>10</v>
      </c>
      <c r="D120" s="16" t="s">
        <v>299</v>
      </c>
      <c r="E120" s="15">
        <f t="shared" si="10"/>
        <v>137221</v>
      </c>
      <c r="F120" s="15">
        <v>137221</v>
      </c>
      <c r="G120" s="11"/>
      <c r="H120" s="11"/>
      <c r="I120" s="11"/>
      <c r="J120" s="15">
        <f t="shared" si="16"/>
        <v>0</v>
      </c>
      <c r="K120" s="11"/>
      <c r="L120" s="11"/>
      <c r="M120" s="11"/>
      <c r="N120" s="11"/>
      <c r="O120" s="11"/>
      <c r="P120" s="15">
        <f t="shared" si="14"/>
        <v>137221</v>
      </c>
    </row>
    <row r="121" spans="1:16">
      <c r="A121" s="13" t="s">
        <v>324</v>
      </c>
      <c r="B121" s="13" t="s">
        <v>325</v>
      </c>
      <c r="C121" s="13" t="s">
        <v>21</v>
      </c>
      <c r="D121" s="66" t="s">
        <v>326</v>
      </c>
      <c r="E121" s="15">
        <f t="shared" si="10"/>
        <v>380000</v>
      </c>
      <c r="F121" s="15">
        <v>380000</v>
      </c>
      <c r="G121" s="11"/>
      <c r="H121" s="11"/>
      <c r="I121" s="11"/>
      <c r="J121" s="15">
        <f>L121+O121</f>
        <v>0</v>
      </c>
      <c r="K121" s="15"/>
      <c r="L121" s="11"/>
      <c r="M121" s="11"/>
      <c r="N121" s="11"/>
      <c r="O121" s="15"/>
      <c r="P121" s="15">
        <f t="shared" si="14"/>
        <v>380000</v>
      </c>
    </row>
    <row r="122" spans="1:16" hidden="1">
      <c r="A122" s="13" t="s">
        <v>167</v>
      </c>
      <c r="B122" s="13" t="s">
        <v>168</v>
      </c>
      <c r="C122" s="13" t="s">
        <v>79</v>
      </c>
      <c r="D122" s="16" t="s">
        <v>169</v>
      </c>
      <c r="E122" s="15">
        <f t="shared" si="10"/>
        <v>0</v>
      </c>
      <c r="F122" s="15"/>
      <c r="G122" s="11"/>
      <c r="H122" s="11"/>
      <c r="I122" s="11"/>
      <c r="J122" s="15">
        <f>L122+O122</f>
        <v>0</v>
      </c>
      <c r="K122" s="15"/>
      <c r="L122" s="11"/>
      <c r="M122" s="11"/>
      <c r="N122" s="11"/>
      <c r="O122" s="15"/>
      <c r="P122" s="15">
        <f>E122+J122</f>
        <v>0</v>
      </c>
    </row>
    <row r="123" spans="1:16" ht="25.5" hidden="1">
      <c r="A123" s="13" t="s">
        <v>198</v>
      </c>
      <c r="B123" s="13" t="s">
        <v>199</v>
      </c>
      <c r="C123" s="13" t="s">
        <v>7</v>
      </c>
      <c r="D123" s="16" t="s">
        <v>200</v>
      </c>
      <c r="E123" s="15">
        <f t="shared" si="10"/>
        <v>0</v>
      </c>
      <c r="F123" s="15"/>
      <c r="G123" s="11"/>
      <c r="H123" s="11"/>
      <c r="I123" s="11"/>
      <c r="J123" s="15">
        <f>L123+O123</f>
        <v>0</v>
      </c>
      <c r="K123" s="15"/>
      <c r="L123" s="11"/>
      <c r="M123" s="11"/>
      <c r="N123" s="11"/>
      <c r="O123" s="15"/>
      <c r="P123" s="15">
        <f>E123+J123</f>
        <v>0</v>
      </c>
    </row>
    <row r="124" spans="1:16" hidden="1">
      <c r="A124" s="18" t="s">
        <v>78</v>
      </c>
      <c r="B124" s="18" t="s">
        <v>46</v>
      </c>
      <c r="C124" s="13" t="s">
        <v>21</v>
      </c>
      <c r="D124" s="16" t="s">
        <v>157</v>
      </c>
      <c r="E124" s="15">
        <f t="shared" si="10"/>
        <v>0</v>
      </c>
      <c r="F124" s="15"/>
      <c r="G124" s="11"/>
      <c r="H124" s="11"/>
      <c r="I124" s="11"/>
      <c r="J124" s="15">
        <f>L124+O124</f>
        <v>0</v>
      </c>
      <c r="K124" s="15">
        <f>100000-100000</f>
        <v>0</v>
      </c>
      <c r="L124" s="11"/>
      <c r="M124" s="11"/>
      <c r="N124" s="11"/>
      <c r="O124" s="15">
        <f>100000-100000</f>
        <v>0</v>
      </c>
      <c r="P124" s="15">
        <f t="shared" si="14"/>
        <v>0</v>
      </c>
    </row>
    <row r="125" spans="1:16" ht="25.5" hidden="1">
      <c r="A125" s="18"/>
      <c r="B125" s="18"/>
      <c r="C125" s="13"/>
      <c r="D125" s="16" t="s">
        <v>235</v>
      </c>
      <c r="E125" s="15"/>
      <c r="F125" s="15">
        <f>E125</f>
        <v>0</v>
      </c>
      <c r="G125" s="11"/>
      <c r="H125" s="11"/>
      <c r="I125" s="11"/>
      <c r="J125" s="15">
        <f>L125+O125</f>
        <v>0</v>
      </c>
      <c r="K125" s="15"/>
      <c r="L125" s="11"/>
      <c r="M125" s="11"/>
      <c r="N125" s="11"/>
      <c r="O125" s="15"/>
      <c r="P125" s="15">
        <f t="shared" si="14"/>
        <v>0</v>
      </c>
    </row>
    <row r="126" spans="1:16" ht="14.25">
      <c r="A126" s="27" t="s">
        <v>205</v>
      </c>
      <c r="B126" s="18"/>
      <c r="C126" s="13"/>
      <c r="D126" s="28" t="s">
        <v>208</v>
      </c>
      <c r="E126" s="11">
        <f>E127</f>
        <v>2058250</v>
      </c>
      <c r="F126" s="11">
        <f t="shared" ref="F126:P126" si="17">F127</f>
        <v>2058250</v>
      </c>
      <c r="G126" s="11">
        <f t="shared" si="17"/>
        <v>1438083</v>
      </c>
      <c r="H126" s="11">
        <f t="shared" si="17"/>
        <v>14501</v>
      </c>
      <c r="I126" s="11">
        <f t="shared" si="17"/>
        <v>0</v>
      </c>
      <c r="J126" s="11">
        <f t="shared" si="17"/>
        <v>0</v>
      </c>
      <c r="K126" s="11">
        <f t="shared" si="17"/>
        <v>0</v>
      </c>
      <c r="L126" s="11">
        <f t="shared" si="17"/>
        <v>0</v>
      </c>
      <c r="M126" s="11">
        <f t="shared" si="17"/>
        <v>0</v>
      </c>
      <c r="N126" s="11">
        <f t="shared" si="17"/>
        <v>0</v>
      </c>
      <c r="O126" s="11">
        <f t="shared" si="17"/>
        <v>0</v>
      </c>
      <c r="P126" s="11">
        <f t="shared" si="17"/>
        <v>2058250</v>
      </c>
    </row>
    <row r="127" spans="1:16" ht="14.25">
      <c r="A127" s="27" t="s">
        <v>206</v>
      </c>
      <c r="B127" s="18"/>
      <c r="C127" s="13"/>
      <c r="D127" s="28" t="s">
        <v>208</v>
      </c>
      <c r="E127" s="11">
        <f>E128+E129+E130+E131+E132</f>
        <v>2058250</v>
      </c>
      <c r="F127" s="11">
        <f>F128+F129+F130+F131+F132</f>
        <v>2058250</v>
      </c>
      <c r="G127" s="11">
        <f t="shared" ref="G127:O127" si="18">G128+G129+G130+G131</f>
        <v>1438083</v>
      </c>
      <c r="H127" s="11">
        <f t="shared" si="18"/>
        <v>14501</v>
      </c>
      <c r="I127" s="11">
        <f t="shared" si="18"/>
        <v>0</v>
      </c>
      <c r="J127" s="11">
        <f t="shared" si="18"/>
        <v>0</v>
      </c>
      <c r="K127" s="11">
        <f t="shared" si="18"/>
        <v>0</v>
      </c>
      <c r="L127" s="11">
        <f t="shared" si="18"/>
        <v>0</v>
      </c>
      <c r="M127" s="11">
        <f t="shared" si="18"/>
        <v>0</v>
      </c>
      <c r="N127" s="11">
        <f t="shared" si="18"/>
        <v>0</v>
      </c>
      <c r="O127" s="11">
        <f t="shared" si="18"/>
        <v>0</v>
      </c>
      <c r="P127" s="11">
        <f>P128+P129+P130+P131+P132</f>
        <v>2058250</v>
      </c>
    </row>
    <row r="128" spans="1:16" ht="25.5">
      <c r="A128" s="18" t="s">
        <v>207</v>
      </c>
      <c r="B128" s="18" t="s">
        <v>22</v>
      </c>
      <c r="C128" s="13" t="s">
        <v>4</v>
      </c>
      <c r="D128" s="14" t="s">
        <v>123</v>
      </c>
      <c r="E128" s="15">
        <f>F128+I128</f>
        <v>1780828</v>
      </c>
      <c r="F128" s="15">
        <f>1767642+10983+2203</f>
        <v>1780828</v>
      </c>
      <c r="G128" s="15">
        <f>1391724+46359</f>
        <v>1438083</v>
      </c>
      <c r="H128" s="15">
        <f>10862+1436+2203</f>
        <v>14501</v>
      </c>
      <c r="I128" s="11"/>
      <c r="J128" s="15">
        <f>L128+O128</f>
        <v>0</v>
      </c>
      <c r="K128" s="15"/>
      <c r="L128" s="11"/>
      <c r="M128" s="11"/>
      <c r="N128" s="11"/>
      <c r="O128" s="15"/>
      <c r="P128" s="15">
        <f>E128+J128</f>
        <v>1780828</v>
      </c>
    </row>
    <row r="129" spans="1:23" ht="54.75" hidden="1" customHeight="1">
      <c r="A129" s="18" t="s">
        <v>248</v>
      </c>
      <c r="B129" s="18" t="s">
        <v>65</v>
      </c>
      <c r="C129" s="13" t="s">
        <v>66</v>
      </c>
      <c r="D129" s="14" t="s">
        <v>67</v>
      </c>
      <c r="E129" s="15">
        <f>F129+I129</f>
        <v>0</v>
      </c>
      <c r="F129" s="15"/>
      <c r="G129" s="15"/>
      <c r="H129" s="15"/>
      <c r="I129" s="11"/>
      <c r="J129" s="15">
        <f>L129+O129</f>
        <v>0</v>
      </c>
      <c r="K129" s="15">
        <f>563824-563824</f>
        <v>0</v>
      </c>
      <c r="L129" s="11"/>
      <c r="M129" s="11"/>
      <c r="N129" s="11"/>
      <c r="O129" s="15">
        <f>563824-563824</f>
        <v>0</v>
      </c>
      <c r="P129" s="15">
        <f>E129+J129</f>
        <v>0</v>
      </c>
    </row>
    <row r="130" spans="1:23">
      <c r="A130" s="18" t="s">
        <v>273</v>
      </c>
      <c r="B130" s="18" t="s">
        <v>274</v>
      </c>
      <c r="C130" s="13" t="s">
        <v>8</v>
      </c>
      <c r="D130" s="16" t="s">
        <v>275</v>
      </c>
      <c r="E130" s="15">
        <f>F130+I130</f>
        <v>15300</v>
      </c>
      <c r="F130" s="15">
        <v>15300</v>
      </c>
      <c r="G130" s="11"/>
      <c r="H130" s="11"/>
      <c r="I130" s="11"/>
      <c r="J130" s="15">
        <f>L130+O130</f>
        <v>0</v>
      </c>
      <c r="K130" s="15"/>
      <c r="L130" s="11"/>
      <c r="M130" s="11"/>
      <c r="N130" s="11"/>
      <c r="O130" s="15"/>
      <c r="P130" s="15">
        <f>E130+J130</f>
        <v>15300</v>
      </c>
    </row>
    <row r="131" spans="1:23" ht="38.25">
      <c r="A131" s="18" t="s">
        <v>293</v>
      </c>
      <c r="B131" s="18" t="s">
        <v>294</v>
      </c>
      <c r="C131" s="13" t="s">
        <v>8</v>
      </c>
      <c r="D131" s="16" t="s">
        <v>298</v>
      </c>
      <c r="E131" s="15">
        <f>F131+I131</f>
        <v>27800</v>
      </c>
      <c r="F131" s="15">
        <v>27800</v>
      </c>
      <c r="G131" s="11"/>
      <c r="H131" s="11"/>
      <c r="I131" s="11"/>
      <c r="J131" s="15">
        <f>L131+O131</f>
        <v>0</v>
      </c>
      <c r="K131" s="15"/>
      <c r="L131" s="11"/>
      <c r="M131" s="11"/>
      <c r="N131" s="11"/>
      <c r="O131" s="15"/>
      <c r="P131" s="15">
        <f>E131+J131</f>
        <v>27800</v>
      </c>
    </row>
    <row r="132" spans="1:23">
      <c r="A132" s="18" t="s">
        <v>330</v>
      </c>
      <c r="B132" s="18" t="s">
        <v>46</v>
      </c>
      <c r="C132" s="13" t="s">
        <v>21</v>
      </c>
      <c r="D132" s="16" t="s">
        <v>331</v>
      </c>
      <c r="E132" s="15">
        <f>F132+I132</f>
        <v>234322</v>
      </c>
      <c r="F132" s="15">
        <f>178107+56215</f>
        <v>234322</v>
      </c>
      <c r="G132" s="11"/>
      <c r="H132" s="11"/>
      <c r="I132" s="11"/>
      <c r="J132" s="15">
        <f>L132+O132</f>
        <v>0</v>
      </c>
      <c r="K132" s="15"/>
      <c r="L132" s="11"/>
      <c r="M132" s="11"/>
      <c r="N132" s="11"/>
      <c r="O132" s="15"/>
      <c r="P132" s="15">
        <f>E132+J132</f>
        <v>234322</v>
      </c>
    </row>
    <row r="133" spans="1:23" ht="14.25">
      <c r="A133" s="29">
        <v>3700000</v>
      </c>
      <c r="B133" s="52"/>
      <c r="C133" s="9"/>
      <c r="D133" s="25" t="s">
        <v>91</v>
      </c>
      <c r="E133" s="11">
        <f>E134</f>
        <v>4197005</v>
      </c>
      <c r="F133" s="11">
        <f t="shared" ref="F133:P133" si="19">F134</f>
        <v>3758690</v>
      </c>
      <c r="G133" s="11">
        <f t="shared" si="19"/>
        <v>3016452</v>
      </c>
      <c r="H133" s="11">
        <f t="shared" si="19"/>
        <v>40114</v>
      </c>
      <c r="I133" s="11">
        <f t="shared" si="19"/>
        <v>36000</v>
      </c>
      <c r="J133" s="11">
        <f t="shared" si="19"/>
        <v>0</v>
      </c>
      <c r="K133" s="11">
        <f t="shared" si="19"/>
        <v>0</v>
      </c>
      <c r="L133" s="11">
        <f t="shared" si="19"/>
        <v>0</v>
      </c>
      <c r="M133" s="11">
        <f t="shared" si="19"/>
        <v>0</v>
      </c>
      <c r="N133" s="11">
        <f t="shared" si="19"/>
        <v>0</v>
      </c>
      <c r="O133" s="11">
        <f t="shared" si="19"/>
        <v>0</v>
      </c>
      <c r="P133" s="11">
        <f t="shared" si="19"/>
        <v>4197005</v>
      </c>
    </row>
    <row r="134" spans="1:23" ht="14.25">
      <c r="A134" s="29">
        <v>3710000</v>
      </c>
      <c r="B134" s="52"/>
      <c r="C134" s="9"/>
      <c r="D134" s="25" t="s">
        <v>91</v>
      </c>
      <c r="E134" s="11">
        <f>E135+E136+E137</f>
        <v>4197005</v>
      </c>
      <c r="F134" s="11">
        <f t="shared" ref="F134:P134" si="20">F135+F136+F137</f>
        <v>3758690</v>
      </c>
      <c r="G134" s="11">
        <f t="shared" si="20"/>
        <v>3016452</v>
      </c>
      <c r="H134" s="11">
        <f t="shared" si="20"/>
        <v>40114</v>
      </c>
      <c r="I134" s="11">
        <f t="shared" si="20"/>
        <v>36000</v>
      </c>
      <c r="J134" s="11">
        <f t="shared" si="20"/>
        <v>0</v>
      </c>
      <c r="K134" s="11">
        <f t="shared" si="20"/>
        <v>0</v>
      </c>
      <c r="L134" s="11">
        <f t="shared" si="20"/>
        <v>0</v>
      </c>
      <c r="M134" s="11">
        <f t="shared" si="20"/>
        <v>0</v>
      </c>
      <c r="N134" s="11">
        <f t="shared" si="20"/>
        <v>0</v>
      </c>
      <c r="O134" s="11">
        <f t="shared" si="20"/>
        <v>0</v>
      </c>
      <c r="P134" s="11">
        <f t="shared" si="20"/>
        <v>4197005</v>
      </c>
    </row>
    <row r="135" spans="1:23" ht="34.5" customHeight="1">
      <c r="A135" s="52">
        <v>3710160</v>
      </c>
      <c r="B135" s="13" t="s">
        <v>22</v>
      </c>
      <c r="C135" s="13" t="s">
        <v>4</v>
      </c>
      <c r="D135" s="14" t="s">
        <v>123</v>
      </c>
      <c r="E135" s="15">
        <f>F135+I135</f>
        <v>3794690</v>
      </c>
      <c r="F135" s="15">
        <f>3756890+1800</f>
        <v>3758690</v>
      </c>
      <c r="G135" s="15">
        <v>3016452</v>
      </c>
      <c r="H135" s="15">
        <v>40114</v>
      </c>
      <c r="I135" s="15">
        <f>20000+16000</f>
        <v>36000</v>
      </c>
      <c r="J135" s="15">
        <f>L135+O135</f>
        <v>0</v>
      </c>
      <c r="K135" s="15"/>
      <c r="L135" s="15"/>
      <c r="M135" s="15"/>
      <c r="N135" s="15"/>
      <c r="O135" s="15"/>
      <c r="P135" s="15">
        <f>E135+J135</f>
        <v>3794690</v>
      </c>
    </row>
    <row r="136" spans="1:23">
      <c r="A136" s="13" t="s">
        <v>120</v>
      </c>
      <c r="B136" s="13" t="s">
        <v>121</v>
      </c>
      <c r="C136" s="13" t="s">
        <v>7</v>
      </c>
      <c r="D136" s="19" t="s">
        <v>122</v>
      </c>
      <c r="E136" s="15">
        <f>3400351-1498101-833000-64500-250000-120525-141900-90010</f>
        <v>402315</v>
      </c>
      <c r="F136" s="15"/>
      <c r="G136" s="15"/>
      <c r="H136" s="15"/>
      <c r="I136" s="15"/>
      <c r="J136" s="15">
        <f>L136+O136</f>
        <v>0</v>
      </c>
      <c r="K136" s="15"/>
      <c r="L136" s="15"/>
      <c r="M136" s="15"/>
      <c r="N136" s="15"/>
      <c r="O136" s="15"/>
      <c r="P136" s="15">
        <f>E136+J136</f>
        <v>402315</v>
      </c>
    </row>
    <row r="137" spans="1:23" hidden="1">
      <c r="A137" s="13" t="s">
        <v>308</v>
      </c>
      <c r="B137" s="13" t="s">
        <v>309</v>
      </c>
      <c r="C137" s="13" t="s">
        <v>21</v>
      </c>
      <c r="D137" s="14" t="s">
        <v>310</v>
      </c>
      <c r="E137" s="15">
        <f>F137+I137</f>
        <v>0</v>
      </c>
      <c r="F137" s="15"/>
      <c r="G137" s="24"/>
      <c r="H137" s="24"/>
      <c r="I137" s="15">
        <f>1572300+205600-1777900</f>
        <v>0</v>
      </c>
      <c r="J137" s="15">
        <f>L137+O137</f>
        <v>0</v>
      </c>
      <c r="K137" s="11"/>
      <c r="L137" s="11"/>
      <c r="M137" s="11"/>
      <c r="N137" s="11"/>
      <c r="O137" s="11"/>
      <c r="P137" s="15">
        <f>E137+J137</f>
        <v>0</v>
      </c>
    </row>
    <row r="138" spans="1:23" ht="22.7" customHeight="1">
      <c r="A138" s="52"/>
      <c r="B138" s="52"/>
      <c r="C138" s="13"/>
      <c r="D138" s="30" t="s">
        <v>63</v>
      </c>
      <c r="E138" s="11">
        <f t="shared" ref="E138:P138" si="21">E25+E81+E133+E126</f>
        <v>364057437</v>
      </c>
      <c r="F138" s="11">
        <f t="shared" si="21"/>
        <v>304669795</v>
      </c>
      <c r="G138" s="11">
        <f t="shared" si="21"/>
        <v>168457563</v>
      </c>
      <c r="H138" s="11">
        <f t="shared" si="21"/>
        <v>18926016</v>
      </c>
      <c r="I138" s="11">
        <f t="shared" si="21"/>
        <v>58985327</v>
      </c>
      <c r="J138" s="11">
        <f t="shared" si="21"/>
        <v>24694952</v>
      </c>
      <c r="K138" s="11">
        <f t="shared" si="21"/>
        <v>14445917</v>
      </c>
      <c r="L138" s="11">
        <f t="shared" si="21"/>
        <v>5318985</v>
      </c>
      <c r="M138" s="11">
        <f t="shared" si="21"/>
        <v>1304347</v>
      </c>
      <c r="N138" s="11">
        <f t="shared" si="21"/>
        <v>27905</v>
      </c>
      <c r="O138" s="11">
        <f t="shared" si="21"/>
        <v>19375967</v>
      </c>
      <c r="P138" s="11">
        <f t="shared" si="21"/>
        <v>388752389</v>
      </c>
      <c r="Q138" s="31">
        <f>P77+P78+P76+P121</f>
        <v>13236400</v>
      </c>
      <c r="R138" s="12"/>
    </row>
    <row r="139" spans="1:23" s="36" customFormat="1" ht="22.7" hidden="1" customHeight="1">
      <c r="A139" s="32"/>
      <c r="B139" s="32"/>
      <c r="C139" s="33"/>
      <c r="D139" s="34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12"/>
    </row>
    <row r="140" spans="1:23" ht="22.7" hidden="1" customHeight="1">
      <c r="A140" s="6"/>
      <c r="B140" s="6"/>
      <c r="C140" s="37"/>
      <c r="D140" s="38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12"/>
    </row>
    <row r="141" spans="1:23" s="48" customFormat="1" ht="22.7" customHeight="1">
      <c r="E141" s="12"/>
      <c r="G141" s="40"/>
      <c r="H141" s="40"/>
      <c r="I141" s="40"/>
      <c r="J141" s="39"/>
      <c r="K141" s="49"/>
      <c r="L141" s="49"/>
      <c r="M141" s="49"/>
      <c r="N141" s="49"/>
      <c r="O141" s="49"/>
      <c r="P141" s="54"/>
    </row>
    <row r="142" spans="1:23" ht="22.7" customHeight="1">
      <c r="A142" s="64"/>
      <c r="B142" s="65"/>
      <c r="C142" s="64"/>
      <c r="D142" s="64"/>
      <c r="E142" s="64"/>
      <c r="F142" s="49"/>
      <c r="G142" s="49"/>
      <c r="H142" s="49"/>
      <c r="I142" s="49"/>
      <c r="J142" s="39"/>
      <c r="K142" s="50"/>
      <c r="L142" s="41"/>
      <c r="M142" s="40"/>
      <c r="N142" s="40"/>
      <c r="O142" s="40"/>
      <c r="P142" s="40"/>
    </row>
    <row r="143" spans="1:23" ht="22.7" customHeight="1">
      <c r="A143" s="2" t="s">
        <v>322</v>
      </c>
      <c r="B143" s="12"/>
      <c r="C143" s="12"/>
      <c r="E143" s="44"/>
      <c r="F143" s="61"/>
      <c r="G143" s="49"/>
      <c r="H143" s="44" t="s">
        <v>323</v>
      </c>
      <c r="I143" s="49"/>
      <c r="J143" s="49"/>
      <c r="K143" s="49"/>
      <c r="L143" s="40"/>
      <c r="M143" s="40"/>
      <c r="N143" s="40"/>
      <c r="O143" s="40"/>
      <c r="P143" s="40"/>
    </row>
    <row r="144" spans="1:23" ht="18.75">
      <c r="A144" s="42"/>
      <c r="B144" s="65"/>
      <c r="C144" s="64"/>
      <c r="D144" s="64"/>
      <c r="E144" s="64"/>
      <c r="F144" s="44"/>
      <c r="G144" s="43"/>
      <c r="H144" s="43"/>
      <c r="I144" s="43"/>
      <c r="J144" s="45">
        <f>6377597+260000+1430000</f>
        <v>8067597</v>
      </c>
      <c r="K144" s="43"/>
      <c r="L144" s="43"/>
      <c r="M144" s="43"/>
      <c r="N144" s="43"/>
      <c r="O144" s="43"/>
      <c r="P144" s="45">
        <f>253048927.76-12998925+28173639</f>
        <v>268223641.75999999</v>
      </c>
      <c r="Q144" s="46"/>
      <c r="R144" s="46"/>
      <c r="S144" s="46"/>
      <c r="T144" s="46"/>
      <c r="U144" s="46"/>
      <c r="V144" s="46"/>
      <c r="W144" s="46"/>
    </row>
    <row r="145" spans="1:16">
      <c r="A145"/>
      <c r="B145"/>
      <c r="C145"/>
      <c r="D145"/>
      <c r="E145" s="67">
        <v>363858437</v>
      </c>
      <c r="F145" s="12">
        <v>304919795</v>
      </c>
      <c r="G145" s="12">
        <v>168457563</v>
      </c>
      <c r="H145" s="12">
        <v>18926016</v>
      </c>
      <c r="I145" s="12">
        <v>58536327</v>
      </c>
      <c r="J145" s="12">
        <v>24694952</v>
      </c>
      <c r="K145" s="12">
        <v>14445917</v>
      </c>
      <c r="L145" s="12">
        <v>5318985</v>
      </c>
      <c r="M145" s="1">
        <v>1304347</v>
      </c>
      <c r="N145" s="1">
        <v>27905</v>
      </c>
      <c r="O145" s="1">
        <v>19375967</v>
      </c>
      <c r="P145" s="12">
        <v>388553389</v>
      </c>
    </row>
    <row r="146" spans="1:16">
      <c r="A146"/>
      <c r="B146"/>
      <c r="C146"/>
      <c r="D146"/>
      <c r="E146" s="67">
        <f>E145-E138</f>
        <v>-199000</v>
      </c>
      <c r="F146" s="67">
        <f t="shared" ref="F146:P146" si="22">F145-F138</f>
        <v>250000</v>
      </c>
      <c r="G146" s="67">
        <f t="shared" si="22"/>
        <v>0</v>
      </c>
      <c r="H146" s="67">
        <f t="shared" si="22"/>
        <v>0</v>
      </c>
      <c r="I146" s="67">
        <f t="shared" si="22"/>
        <v>-449000</v>
      </c>
      <c r="J146" s="67">
        <f t="shared" si="22"/>
        <v>0</v>
      </c>
      <c r="K146" s="67">
        <f t="shared" si="22"/>
        <v>0</v>
      </c>
      <c r="L146" s="67">
        <f t="shared" si="22"/>
        <v>0</v>
      </c>
      <c r="M146" s="67">
        <f t="shared" si="22"/>
        <v>0</v>
      </c>
      <c r="N146" s="67">
        <f t="shared" si="22"/>
        <v>0</v>
      </c>
      <c r="O146" s="67">
        <f t="shared" si="22"/>
        <v>0</v>
      </c>
      <c r="P146" s="67">
        <f t="shared" si="22"/>
        <v>-199000</v>
      </c>
    </row>
    <row r="147" spans="1:16"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</row>
    <row r="148" spans="1:16">
      <c r="C148" s="37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</row>
    <row r="149" spans="1:16">
      <c r="C149" s="37"/>
      <c r="E149" s="12"/>
      <c r="F149" s="12"/>
      <c r="J149" s="12"/>
      <c r="K149" s="12"/>
    </row>
    <row r="150" spans="1:16">
      <c r="C150" s="37"/>
      <c r="J150" s="12"/>
      <c r="K150" s="12"/>
    </row>
    <row r="151" spans="1:16">
      <c r="C151" s="37"/>
      <c r="E151" s="12"/>
    </row>
    <row r="152" spans="1:16">
      <c r="C152" s="37"/>
    </row>
    <row r="153" spans="1:16">
      <c r="C153" s="37"/>
    </row>
    <row r="154" spans="1:16">
      <c r="C154" s="37"/>
    </row>
    <row r="155" spans="1:16">
      <c r="C155" s="37"/>
    </row>
    <row r="156" spans="1:16">
      <c r="C156" s="37"/>
    </row>
    <row r="157" spans="1:16">
      <c r="C157" s="37"/>
    </row>
    <row r="158" spans="1:16">
      <c r="C158" s="37"/>
      <c r="G158" s="12"/>
    </row>
    <row r="159" spans="1:16">
      <c r="C159" s="37"/>
    </row>
    <row r="160" spans="1:16">
      <c r="C160" s="37"/>
    </row>
    <row r="161" spans="3:3">
      <c r="C161" s="37"/>
    </row>
    <row r="162" spans="3:3">
      <c r="C162" s="37"/>
    </row>
    <row r="163" spans="3:3">
      <c r="C163" s="37"/>
    </row>
    <row r="164" spans="3:3">
      <c r="C164" s="37"/>
    </row>
    <row r="165" spans="3:3">
      <c r="C165" s="37"/>
    </row>
    <row r="166" spans="3:3">
      <c r="C166" s="37"/>
    </row>
    <row r="167" spans="3:3">
      <c r="C167" s="37"/>
    </row>
    <row r="168" spans="3:3">
      <c r="C168" s="37"/>
    </row>
    <row r="169" spans="3:3">
      <c r="C169" s="37"/>
    </row>
    <row r="170" spans="3:3">
      <c r="C170" s="37"/>
    </row>
    <row r="171" spans="3:3">
      <c r="C171" s="37"/>
    </row>
    <row r="172" spans="3:3">
      <c r="C172" s="37"/>
    </row>
    <row r="173" spans="3:3">
      <c r="C173" s="37"/>
    </row>
    <row r="174" spans="3:3">
      <c r="C174" s="37"/>
    </row>
    <row r="175" spans="3:3">
      <c r="C175" s="37"/>
    </row>
    <row r="176" spans="3:3">
      <c r="C176" s="37"/>
    </row>
    <row r="177" spans="3:3">
      <c r="C177" s="37"/>
    </row>
    <row r="178" spans="3:3">
      <c r="C178" s="47"/>
    </row>
    <row r="179" spans="3:3">
      <c r="C179" s="47"/>
    </row>
    <row r="180" spans="3:3">
      <c r="C180" s="47"/>
    </row>
    <row r="181" spans="3:3">
      <c r="C181" s="47"/>
    </row>
    <row r="182" spans="3:3">
      <c r="C182" s="47"/>
    </row>
    <row r="183" spans="3:3">
      <c r="C183" s="47"/>
    </row>
    <row r="184" spans="3:3">
      <c r="C184" s="47"/>
    </row>
    <row r="185" spans="3:3">
      <c r="C185" s="47"/>
    </row>
    <row r="186" spans="3:3">
      <c r="C186" s="47"/>
    </row>
    <row r="187" spans="3:3">
      <c r="C187" s="47"/>
    </row>
    <row r="188" spans="3:3">
      <c r="C188" s="47"/>
    </row>
    <row r="189" spans="3:3">
      <c r="C189" s="47"/>
    </row>
    <row r="190" spans="3:3">
      <c r="C190" s="47"/>
    </row>
    <row r="191" spans="3:3">
      <c r="C191" s="47"/>
    </row>
    <row r="192" spans="3:3">
      <c r="C192" s="47"/>
    </row>
    <row r="193" spans="3:3">
      <c r="C193" s="47"/>
    </row>
    <row r="194" spans="3:3">
      <c r="C194" s="47"/>
    </row>
    <row r="195" spans="3:3">
      <c r="C195" s="47"/>
    </row>
    <row r="196" spans="3:3">
      <c r="C196" s="47"/>
    </row>
  </sheetData>
  <mergeCells count="23">
    <mergeCell ref="A19:A23"/>
    <mergeCell ref="D14:N14"/>
    <mergeCell ref="D18:N18"/>
    <mergeCell ref="M21:M23"/>
    <mergeCell ref="N21:N23"/>
    <mergeCell ref="G20:H20"/>
    <mergeCell ref="J19:O19"/>
    <mergeCell ref="F20:F23"/>
    <mergeCell ref="B19:B23"/>
    <mergeCell ref="D19:D23"/>
    <mergeCell ref="B16:C16"/>
    <mergeCell ref="C19:C23"/>
    <mergeCell ref="H21:H23"/>
    <mergeCell ref="E19:I19"/>
    <mergeCell ref="I20:I23"/>
    <mergeCell ref="G21:G23"/>
    <mergeCell ref="P19:P23"/>
    <mergeCell ref="E20:E23"/>
    <mergeCell ref="J20:J23"/>
    <mergeCell ref="L20:L23"/>
    <mergeCell ref="O20:O23"/>
    <mergeCell ref="M20:N20"/>
    <mergeCell ref="K20:K23"/>
  </mergeCells>
  <phoneticPr fontId="0" type="noConversion"/>
  <pageMargins left="0.23622047244094491" right="0.19685039370078741" top="0.19685039370078741" bottom="0.19685039370078741" header="0.19685039370078741" footer="0.19685039370078741"/>
  <pageSetup paperSize="9" scale="50" fitToHeight="3" orientation="landscape" r:id="rId1"/>
  <headerFooter alignWithMargins="0"/>
  <rowBreaks count="1" manualBreakCount="1">
    <brk id="100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3</vt:lpstr>
      <vt:lpstr>'3'!Заголовки_для_печати</vt:lpstr>
      <vt:lpstr>'3'!Область_печати</vt:lpstr>
    </vt:vector>
  </TitlesOfParts>
  <Company>GFU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2026-05-29T08:34:48Z</cp:lastPrinted>
  <dcterms:created xsi:type="dcterms:W3CDTF">2008-01-18T06:35:02Z</dcterms:created>
  <dcterms:modified xsi:type="dcterms:W3CDTF">2026-07-27T08:21:43Z</dcterms:modified>
</cp:coreProperties>
</file>